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obs2-my.sharepoint.com/personal/sandholzer_vobs_at/Documents/VOBS/vobs.at - Inhalte/Kalender/"/>
    </mc:Choice>
  </mc:AlternateContent>
  <xr:revisionPtr revIDLastSave="755" documentId="8_{4219B78A-5E7D-D642-9F99-107E97DA03E4}" xr6:coauthVersionLast="47" xr6:coauthVersionMax="47" xr10:uidLastSave="{3DA5190D-E5F4-2C4A-85E3-B03DCE32A6D5}"/>
  <bookViews>
    <workbookView xWindow="16840" yWindow="500" windowWidth="18840" windowHeight="26540" xr2:uid="{EA5EE6FC-05B9-C640-AA20-96D5548056AD}"/>
  </bookViews>
  <sheets>
    <sheet name="Übersicht" sheetId="1" r:id="rId1"/>
    <sheet name="Einstellungen" sheetId="2" r:id="rId2"/>
  </sheets>
  <definedNames>
    <definedName name="_xlnm.Print_Area" localSheetId="0">Übersicht!$A$1:$I$53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D4" i="2"/>
  <c r="B35" i="2"/>
  <c r="C35" i="2" s="1"/>
  <c r="D35" i="2" s="1"/>
  <c r="B3" i="2"/>
  <c r="N7" i="2" l="1"/>
  <c r="N8" i="2"/>
  <c r="N9" i="2"/>
  <c r="N10" i="2"/>
  <c r="N11" i="2"/>
  <c r="N12" i="2"/>
  <c r="N13" i="2"/>
  <c r="N14" i="2"/>
  <c r="N15" i="2"/>
  <c r="N16" i="2"/>
  <c r="B9" i="2" l="1"/>
  <c r="L9" i="2" s="1"/>
  <c r="M9" i="2" s="1"/>
  <c r="I27" i="2"/>
  <c r="I28" i="2" s="1"/>
  <c r="I21" i="2"/>
  <c r="D52" i="1" s="1"/>
  <c r="B10" i="2"/>
  <c r="L10" i="2" s="1"/>
  <c r="M10" i="2" s="1"/>
  <c r="B7" i="2"/>
  <c r="B29" i="2" s="1"/>
  <c r="C29" i="2" s="1"/>
  <c r="B20" i="2"/>
  <c r="B8" i="2"/>
  <c r="L8" i="2" s="1"/>
  <c r="M8" i="2" s="1"/>
  <c r="I29" i="2"/>
  <c r="E53" i="1" s="1"/>
  <c r="B12" i="2"/>
  <c r="C12" i="2" s="1"/>
  <c r="D12" i="2" s="1"/>
  <c r="I23" i="2"/>
  <c r="E52" i="1" s="1"/>
  <c r="B16" i="2"/>
  <c r="C16" i="2" s="1"/>
  <c r="D16" i="2" s="1"/>
  <c r="B40" i="2"/>
  <c r="C40" i="2" s="1"/>
  <c r="D40" i="2" s="1"/>
  <c r="I26" i="2"/>
  <c r="A53" i="1" s="1"/>
  <c r="B14" i="2"/>
  <c r="C14" i="2" s="1"/>
  <c r="D14" i="2" s="1"/>
  <c r="B39" i="2"/>
  <c r="C39" i="2" s="1"/>
  <c r="D39" i="2" s="1"/>
  <c r="B45" i="2"/>
  <c r="C45" i="2" s="1"/>
  <c r="D45" i="2" s="1"/>
  <c r="B38" i="2"/>
  <c r="C38" i="2" s="1"/>
  <c r="D38" i="2" s="1"/>
  <c r="B15" i="2"/>
  <c r="C15" i="2" s="1"/>
  <c r="D15" i="2" s="1"/>
  <c r="B43" i="2"/>
  <c r="C43" i="2" s="1"/>
  <c r="D43" i="2" s="1"/>
  <c r="B36" i="2"/>
  <c r="C36" i="2" s="1"/>
  <c r="D36" i="2" s="1"/>
  <c r="F3" i="2"/>
  <c r="B1" i="1" s="1"/>
  <c r="B44" i="2"/>
  <c r="C44" i="2" s="1"/>
  <c r="D44" i="2" s="1"/>
  <c r="I20" i="2"/>
  <c r="A52" i="1" s="1"/>
  <c r="C3" i="2"/>
  <c r="B41" i="2"/>
  <c r="C41" i="2" s="1"/>
  <c r="D41" i="2" s="1"/>
  <c r="B37" i="2"/>
  <c r="C37" i="2" s="1"/>
  <c r="D37" i="2" s="1"/>
  <c r="B13" i="2"/>
  <c r="C13" i="2" s="1"/>
  <c r="D13" i="2" s="1"/>
  <c r="B42" i="2"/>
  <c r="C42" i="2" s="1"/>
  <c r="D42" i="2" s="1"/>
  <c r="C1" i="2"/>
  <c r="B1" i="2"/>
  <c r="B59" i="2" l="1"/>
  <c r="C59" i="2" s="1"/>
  <c r="D59" i="2" s="1"/>
  <c r="C8" i="2"/>
  <c r="D8" i="2" s="1"/>
  <c r="J28" i="2"/>
  <c r="G53" i="1" s="1"/>
  <c r="B32" i="2"/>
  <c r="C32" i="2" s="1"/>
  <c r="D32" i="2" s="1"/>
  <c r="C10" i="2"/>
  <c r="D10" i="2" s="1"/>
  <c r="B54" i="2"/>
  <c r="C54" i="2" s="1"/>
  <c r="D54" i="2" s="1"/>
  <c r="C9" i="2"/>
  <c r="D9" i="2" s="1"/>
  <c r="D6" i="1"/>
  <c r="B56" i="2"/>
  <c r="C56" i="2" s="1"/>
  <c r="D56" i="2" s="1"/>
  <c r="B31" i="2"/>
  <c r="C31" i="2" s="1"/>
  <c r="M31" i="2" s="1"/>
  <c r="L7" i="2"/>
  <c r="M7" i="2" s="1"/>
  <c r="B28" i="2"/>
  <c r="C28" i="2" s="1"/>
  <c r="D28" i="2" s="1"/>
  <c r="M29" i="2"/>
  <c r="D29" i="2"/>
  <c r="I22" i="2"/>
  <c r="B34" i="2"/>
  <c r="C34" i="2" s="1"/>
  <c r="D34" i="2" s="1"/>
  <c r="B55" i="2"/>
  <c r="C55" i="2" s="1"/>
  <c r="D55" i="2" s="1"/>
  <c r="B53" i="2"/>
  <c r="C20" i="2"/>
  <c r="D20" i="2" s="1"/>
  <c r="B22" i="2"/>
  <c r="B23" i="2"/>
  <c r="B57" i="2"/>
  <c r="C57" i="2" s="1"/>
  <c r="D57" i="2" s="1"/>
  <c r="B21" i="2"/>
  <c r="I5" i="2"/>
  <c r="F1" i="2"/>
  <c r="B24" i="2"/>
  <c r="D53" i="1"/>
  <c r="B30" i="2"/>
  <c r="C30" i="2" s="1"/>
  <c r="C7" i="2"/>
  <c r="D7" i="2" s="1"/>
  <c r="B6" i="1" l="1"/>
  <c r="D5" i="1"/>
  <c r="D31" i="2"/>
  <c r="D7" i="1"/>
  <c r="D8" i="1" s="1"/>
  <c r="M32" i="2"/>
  <c r="E6" i="1"/>
  <c r="F6" i="1" s="1"/>
  <c r="G6" i="1" s="1"/>
  <c r="H6" i="1" s="1"/>
  <c r="J22" i="2"/>
  <c r="G52" i="1" s="1"/>
  <c r="M28" i="2"/>
  <c r="B51" i="2"/>
  <c r="C51" i="2" s="1"/>
  <c r="D51" i="2" s="1"/>
  <c r="B48" i="2"/>
  <c r="B47" i="2"/>
  <c r="B50" i="2"/>
  <c r="C50" i="2" s="1"/>
  <c r="D50" i="2" s="1"/>
  <c r="B49" i="2"/>
  <c r="C49" i="2" s="1"/>
  <c r="D49" i="2" s="1"/>
  <c r="L16" i="2"/>
  <c r="M16" i="2" s="1"/>
  <c r="C53" i="2"/>
  <c r="D53" i="2" s="1"/>
  <c r="L13" i="2"/>
  <c r="M13" i="2" s="1"/>
  <c r="C23" i="2"/>
  <c r="D23" i="2" s="1"/>
  <c r="C22" i="2"/>
  <c r="D22" i="2" s="1"/>
  <c r="L12" i="2"/>
  <c r="M12" i="2" s="1"/>
  <c r="M30" i="2"/>
  <c r="D30" i="2"/>
  <c r="C21" i="2"/>
  <c r="D21" i="2" s="1"/>
  <c r="L11" i="2"/>
  <c r="M11" i="2" s="1"/>
  <c r="L14" i="2"/>
  <c r="M14" i="2" s="1"/>
  <c r="C24" i="2"/>
  <c r="D24" i="2" s="1"/>
  <c r="B5" i="1" l="1"/>
  <c r="E5" i="1"/>
  <c r="F5" i="1" s="1"/>
  <c r="G5" i="1" s="1"/>
  <c r="H5" i="1" s="1"/>
  <c r="B7" i="1"/>
  <c r="N34" i="2"/>
  <c r="I15" i="2" s="1"/>
  <c r="E7" i="1"/>
  <c r="F7" i="1" s="1"/>
  <c r="G7" i="1" s="1"/>
  <c r="H7" i="1" s="1"/>
  <c r="C47" i="2"/>
  <c r="D47" i="2" s="1"/>
  <c r="L15" i="2"/>
  <c r="M15" i="2" s="1"/>
  <c r="C48" i="2"/>
  <c r="D48" i="2" s="1"/>
  <c r="E48" i="2"/>
  <c r="B8" i="1"/>
  <c r="E8" i="1"/>
  <c r="F8" i="1" s="1"/>
  <c r="G8" i="1" s="1"/>
  <c r="H8" i="1" s="1"/>
  <c r="D9" i="1"/>
  <c r="I51" i="1" l="1"/>
  <c r="I12" i="2"/>
  <c r="G50" i="1" s="1"/>
  <c r="F48" i="2"/>
  <c r="D2" i="2"/>
  <c r="I13" i="2"/>
  <c r="H50" i="1" s="1"/>
  <c r="I11" i="2"/>
  <c r="F50" i="1" s="1"/>
  <c r="I10" i="2"/>
  <c r="E50" i="1" s="1"/>
  <c r="I9" i="2"/>
  <c r="D50" i="1" s="1"/>
  <c r="B9" i="1"/>
  <c r="D10" i="1"/>
  <c r="E9" i="1"/>
  <c r="F9" i="1" s="1"/>
  <c r="G9" i="1" s="1"/>
  <c r="H9" i="1" s="1"/>
  <c r="I50" i="1" l="1"/>
  <c r="I14" i="2"/>
  <c r="I16" i="2" s="1"/>
  <c r="I17" i="2" s="1"/>
  <c r="E10" i="1"/>
  <c r="F10" i="1" s="1"/>
  <c r="G10" i="1" s="1"/>
  <c r="H10" i="1" s="1"/>
  <c r="D11" i="1"/>
  <c r="B10" i="1"/>
  <c r="I7" i="2" l="1"/>
  <c r="D12" i="1"/>
  <c r="B11" i="1"/>
  <c r="E11" i="1"/>
  <c r="F11" i="1" s="1"/>
  <c r="G11" i="1" s="1"/>
  <c r="H11" i="1" s="1"/>
  <c r="D13" i="1" l="1"/>
  <c r="E12" i="1"/>
  <c r="F12" i="1" s="1"/>
  <c r="G12" i="1" s="1"/>
  <c r="H12" i="1" s="1"/>
  <c r="I12" i="1" s="1"/>
  <c r="B12" i="1"/>
  <c r="B13" i="1" l="1"/>
  <c r="E13" i="1"/>
  <c r="F13" i="1" s="1"/>
  <c r="G13" i="1" s="1"/>
  <c r="H13" i="1" s="1"/>
  <c r="I13" i="1" s="1"/>
  <c r="D14" i="1"/>
  <c r="B14" i="1" l="1"/>
  <c r="E14" i="1"/>
  <c r="F14" i="1" s="1"/>
  <c r="G14" i="1" s="1"/>
  <c r="H14" i="1" s="1"/>
  <c r="D15" i="1"/>
  <c r="B15" i="1" l="1"/>
  <c r="D16" i="1"/>
  <c r="E15" i="1"/>
  <c r="F15" i="1" s="1"/>
  <c r="G15" i="1" s="1"/>
  <c r="H15" i="1" s="1"/>
  <c r="B16" i="1" l="1"/>
  <c r="E16" i="1"/>
  <c r="F16" i="1" s="1"/>
  <c r="G16" i="1" s="1"/>
  <c r="H16" i="1" s="1"/>
  <c r="D17" i="1"/>
  <c r="B17" i="1" l="1"/>
  <c r="D18" i="1"/>
  <c r="E17" i="1"/>
  <c r="F17" i="1" s="1"/>
  <c r="G17" i="1" s="1"/>
  <c r="H17" i="1" s="1"/>
  <c r="D19" i="1" l="1"/>
  <c r="I19" i="1" s="1"/>
  <c r="B18" i="1"/>
  <c r="E18" i="1"/>
  <c r="F18" i="1" s="1"/>
  <c r="G18" i="1" s="1"/>
  <c r="H18" i="1" s="1"/>
  <c r="I18" i="1" s="1"/>
  <c r="B19" i="1" l="1"/>
  <c r="E19" i="1"/>
  <c r="F19" i="1" s="1"/>
  <c r="G19" i="1" s="1"/>
  <c r="H19" i="1" s="1"/>
  <c r="D20" i="1"/>
  <c r="D21" i="1" l="1"/>
  <c r="B20" i="1"/>
  <c r="E20" i="1"/>
  <c r="F20" i="1" s="1"/>
  <c r="G20" i="1" s="1"/>
  <c r="H20" i="1" s="1"/>
  <c r="I20" i="1" s="1"/>
  <c r="E21" i="1" l="1"/>
  <c r="F21" i="1" s="1"/>
  <c r="G21" i="1" s="1"/>
  <c r="H21" i="1" s="1"/>
  <c r="B21" i="1"/>
  <c r="D22" i="1"/>
  <c r="B22" i="1" l="1"/>
  <c r="E22" i="1"/>
  <c r="F22" i="1" s="1"/>
  <c r="G22" i="1" s="1"/>
  <c r="H22" i="1" s="1"/>
  <c r="D23" i="1"/>
  <c r="I23" i="1" s="1"/>
  <c r="E23" i="1" l="1"/>
  <c r="F23" i="1" s="1"/>
  <c r="G23" i="1" s="1"/>
  <c r="H23" i="1" s="1"/>
  <c r="D24" i="1"/>
  <c r="B23" i="1"/>
  <c r="B24" i="1" l="1"/>
  <c r="E24" i="1"/>
  <c r="F24" i="1" s="1"/>
  <c r="G24" i="1" s="1"/>
  <c r="H24" i="1" s="1"/>
  <c r="D25" i="1"/>
  <c r="B25" i="1" l="1"/>
  <c r="D26" i="1"/>
  <c r="E25" i="1"/>
  <c r="F25" i="1" s="1"/>
  <c r="G25" i="1" s="1"/>
  <c r="H25" i="1" s="1"/>
  <c r="D27" i="1" l="1"/>
  <c r="I27" i="1" s="1"/>
  <c r="B26" i="1"/>
  <c r="E26" i="1"/>
  <c r="F26" i="1" s="1"/>
  <c r="G26" i="1" s="1"/>
  <c r="H26" i="1" s="1"/>
  <c r="B27" i="1" l="1"/>
  <c r="E27" i="1"/>
  <c r="F27" i="1" s="1"/>
  <c r="G27" i="1" s="1"/>
  <c r="H27" i="1" s="1"/>
  <c r="D28" i="1"/>
  <c r="I28" i="1" s="1"/>
  <c r="D29" i="1" l="1"/>
  <c r="B28" i="1"/>
  <c r="E28" i="1"/>
  <c r="F28" i="1" s="1"/>
  <c r="G28" i="1" s="1"/>
  <c r="H28" i="1" s="1"/>
  <c r="E29" i="1" l="1"/>
  <c r="F29" i="1" s="1"/>
  <c r="G29" i="1" s="1"/>
  <c r="H29" i="1" s="1"/>
  <c r="B29" i="1"/>
  <c r="D30" i="1"/>
  <c r="B30" i="1" l="1"/>
  <c r="E30" i="1"/>
  <c r="F30" i="1" s="1"/>
  <c r="G30" i="1" s="1"/>
  <c r="H30" i="1" s="1"/>
  <c r="D31" i="1"/>
  <c r="E31" i="1" l="1"/>
  <c r="F31" i="1" s="1"/>
  <c r="G31" i="1" s="1"/>
  <c r="H31" i="1" s="1"/>
  <c r="D32" i="1"/>
  <c r="B31" i="1"/>
  <c r="B32" i="1" l="1"/>
  <c r="E32" i="1"/>
  <c r="F32" i="1" s="1"/>
  <c r="G32" i="1" s="1"/>
  <c r="H32" i="1" s="1"/>
  <c r="I32" i="1" s="1"/>
  <c r="D33" i="1"/>
  <c r="I33" i="1" s="1"/>
  <c r="B33" i="1" l="1"/>
  <c r="D34" i="1"/>
  <c r="I34" i="1" s="1"/>
  <c r="E33" i="1"/>
  <c r="F33" i="1" s="1"/>
  <c r="G33" i="1" s="1"/>
  <c r="H33" i="1" s="1"/>
  <c r="D35" i="1" l="1"/>
  <c r="I35" i="1" s="1"/>
  <c r="B34" i="1"/>
  <c r="E34" i="1"/>
  <c r="F34" i="1" s="1"/>
  <c r="G34" i="1" s="1"/>
  <c r="H34" i="1" s="1"/>
  <c r="B35" i="1" l="1"/>
  <c r="E35" i="1"/>
  <c r="F35" i="1" s="1"/>
  <c r="G35" i="1" s="1"/>
  <c r="H35" i="1" s="1"/>
  <c r="D36" i="1"/>
  <c r="I36" i="1" s="1"/>
  <c r="D37" i="1" l="1"/>
  <c r="I37" i="1" s="1"/>
  <c r="B36" i="1"/>
  <c r="E36" i="1"/>
  <c r="F36" i="1" s="1"/>
  <c r="G36" i="1" s="1"/>
  <c r="H36" i="1" s="1"/>
  <c r="E37" i="1" l="1"/>
  <c r="F37" i="1" s="1"/>
  <c r="G37" i="1" s="1"/>
  <c r="H37" i="1" s="1"/>
  <c r="B37" i="1"/>
  <c r="D38" i="1"/>
  <c r="I38" i="1" s="1"/>
  <c r="B38" i="1" l="1"/>
  <c r="E38" i="1"/>
  <c r="F38" i="1" s="1"/>
  <c r="G38" i="1" s="1"/>
  <c r="H38" i="1" s="1"/>
  <c r="D39" i="1"/>
  <c r="E39" i="1" l="1"/>
  <c r="F39" i="1" s="1"/>
  <c r="G39" i="1" s="1"/>
  <c r="H39" i="1" s="1"/>
  <c r="I39" i="1" s="1"/>
  <c r="D40" i="1"/>
  <c r="B39" i="1"/>
  <c r="B40" i="1" l="1"/>
  <c r="E40" i="1"/>
  <c r="F40" i="1" s="1"/>
  <c r="G40" i="1" s="1"/>
  <c r="D41" i="1"/>
  <c r="H40" i="1" l="1"/>
  <c r="I40" i="1"/>
  <c r="B41" i="1"/>
  <c r="D42" i="1"/>
  <c r="E41" i="1"/>
  <c r="F41" i="1" s="1"/>
  <c r="G41" i="1" s="1"/>
  <c r="H41" i="1" l="1"/>
  <c r="I41" i="1"/>
  <c r="D43" i="1"/>
  <c r="B42" i="1"/>
  <c r="E42" i="1"/>
  <c r="F42" i="1" s="1"/>
  <c r="G42" i="1" s="1"/>
  <c r="I42" i="1" s="1"/>
  <c r="H42" i="1" l="1"/>
  <c r="B43" i="1"/>
  <c r="E43" i="1"/>
  <c r="F43" i="1" s="1"/>
  <c r="G43" i="1" s="1"/>
  <c r="I43" i="1" s="1"/>
  <c r="D44" i="1"/>
  <c r="H43" i="1" l="1"/>
  <c r="D45" i="1"/>
  <c r="E44" i="1"/>
  <c r="F44" i="1" s="1"/>
  <c r="G44" i="1" s="1"/>
  <c r="I44" i="1" s="1"/>
  <c r="B44" i="1"/>
  <c r="H44" i="1" l="1"/>
  <c r="E45" i="1"/>
  <c r="F45" i="1" s="1"/>
  <c r="G45" i="1" s="1"/>
  <c r="I45" i="1" s="1"/>
  <c r="B45" i="1"/>
  <c r="D46" i="1"/>
  <c r="H45" i="1" l="1"/>
  <c r="B46" i="1"/>
  <c r="E46" i="1"/>
  <c r="F46" i="1" s="1"/>
  <c r="G46" i="1" s="1"/>
  <c r="D47" i="1"/>
  <c r="H46" i="1" l="1"/>
  <c r="I46" i="1"/>
  <c r="D48" i="1"/>
  <c r="D49" i="1" s="1"/>
  <c r="B47" i="1"/>
  <c r="E47" i="1"/>
  <c r="F47" i="1" s="1"/>
  <c r="G47" i="1" s="1"/>
  <c r="H47" i="1" s="1"/>
  <c r="B48" i="1" l="1"/>
  <c r="E48" i="1"/>
  <c r="F48" i="1" s="1"/>
  <c r="G48" i="1" s="1"/>
  <c r="H48" i="1" s="1"/>
  <c r="I49" i="1" s="1"/>
  <c r="E49" i="1" l="1"/>
  <c r="F49" i="1" s="1"/>
  <c r="G49" i="1" s="1"/>
  <c r="H49" i="1" s="1"/>
  <c r="B49" i="1"/>
</calcChain>
</file>

<file path=xl/sharedStrings.xml><?xml version="1.0" encoding="utf-8"?>
<sst xmlns="http://schemas.openxmlformats.org/spreadsheetml/2006/main" count="106" uniqueCount="95">
  <si>
    <t>Schuljahr</t>
  </si>
  <si>
    <t>1. Schultag</t>
  </si>
  <si>
    <t>KW:</t>
  </si>
  <si>
    <t>Jahr:</t>
  </si>
  <si>
    <t>Schuljahr:</t>
  </si>
  <si>
    <t>Nationalfeiertag:</t>
  </si>
  <si>
    <t>Allerheiligen:</t>
  </si>
  <si>
    <t>Allerseelen:</t>
  </si>
  <si>
    <t>Maria Empfängnis:</t>
  </si>
  <si>
    <t>Stefanstag:</t>
  </si>
  <si>
    <t>Weihnachtstag</t>
  </si>
  <si>
    <t>Epiphanie:</t>
  </si>
  <si>
    <t>Staatsfeiertag:</t>
  </si>
  <si>
    <t>bewegliche Feiertage</t>
  </si>
  <si>
    <t>feste Feiertage / schulfreie Tage</t>
  </si>
  <si>
    <t>Ostersonntag:</t>
  </si>
  <si>
    <t>Ostermontag:</t>
  </si>
  <si>
    <t>Christi Himmelfahrt:</t>
  </si>
  <si>
    <t>Pfingstmontag:</t>
  </si>
  <si>
    <t>Fronleichnam:</t>
  </si>
  <si>
    <t>Herbstferien:</t>
  </si>
  <si>
    <t>Ferien</t>
  </si>
  <si>
    <t>Weihnachtsferien:</t>
  </si>
  <si>
    <t>Beginn 2. Semester</t>
  </si>
  <si>
    <t>letzter Schultag:</t>
  </si>
  <si>
    <t>Hl. Josef:</t>
  </si>
  <si>
    <t>Montag</t>
  </si>
  <si>
    <t>Dienstag</t>
  </si>
  <si>
    <t>Mittwoch</t>
  </si>
  <si>
    <t>Donnerstag</t>
  </si>
  <si>
    <t>Freitag</t>
  </si>
  <si>
    <t>Summe</t>
  </si>
  <si>
    <t>Schulwochen</t>
  </si>
  <si>
    <t>Öffnungstage</t>
  </si>
  <si>
    <t>schulautonom frei</t>
  </si>
  <si>
    <t>Öffnungswochen</t>
  </si>
  <si>
    <t>2. Semester</t>
  </si>
  <si>
    <t>letzter Schultag</t>
  </si>
  <si>
    <t>Woche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</si>
  <si>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</si>
  <si>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</si>
  <si>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</si>
  <si>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</si>
  <si>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</si>
  <si>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</si>
  <si>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</si>
  <si>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</si>
  <si>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</si>
  <si>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</si>
  <si>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</si>
  <si>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</si>
  <si>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</si>
  <si>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</si>
  <si>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</si>
  <si>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</si>
  <si>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</si>
  <si>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</si>
  <si>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</si>
  <si>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</si>
  <si>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</si>
  <si>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</si>
  <si>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</si>
  <si>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</si>
  <si>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</si>
  <si>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</si>
  <si>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</si>
  <si>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</si>
  <si>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</si>
  <si>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</si>
  <si>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</si>
  <si>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</si>
  <si>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</si>
  <si>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</si>
  <si>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</si>
  <si>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</si>
  <si>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</si>
  <si>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</si>
  <si>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</si>
  <si>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</si>
  <si>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</si>
  <si>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</si>
  <si>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</si>
  <si>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Anmerkung</t>
  </si>
  <si>
    <t>Kalender-</t>
  </si>
  <si>
    <t>Schul-</t>
  </si>
  <si>
    <t>Weihnachtsferien</t>
  </si>
  <si>
    <t>Semesterferien:</t>
  </si>
  <si>
    <t>Osterferien:</t>
  </si>
  <si>
    <t>schulautonom freie Tage</t>
  </si>
  <si>
    <t>verfügbare SAF-Tage:</t>
  </si>
  <si>
    <t>44.</t>
  </si>
  <si>
    <t>Faschingsdienstag</t>
  </si>
  <si>
    <t>0.</t>
  </si>
  <si>
    <t>Sommerferien</t>
  </si>
  <si>
    <t>Hl. Abend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</si>
</sst>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center"/>
    </xf>
    <xf numFmtId="0" fontId="3" fillId="0" borderId="4" xfId="0" applyFont="1" applyBorder="1"/>
    <xf numFmtId="0" fontId="3" fillId="0" borderId="2" xfId="0" applyFont="1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164" fontId="3" fillId="0" borderId="13" xfId="0" applyNumberFormat="1" applyFont="1" applyBorder="1"/>
    <xf numFmtId="164" fontId="3" fillId="0" borderId="14" xfId="0" applyNumberFormat="1" applyFont="1" applyBorder="1"/>
    <xf numFmtId="0" fontId="3" fillId="0" borderId="15" xfId="0" applyFont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6" xfId="0" applyFont="1" applyBorder="1"/>
    <xf numFmtId="0" fontId="8" fillId="0" borderId="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64" fontId="3" fillId="0" borderId="17" xfId="0" applyNumberFormat="1" applyFont="1" applyBorder="1"/>
    <xf numFmtId="14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2" borderId="0" xfId="0" applyFill="1" applyProtection="1">
      <protection locked="0"/>
    </xf>
    <xf numFmtId="14" fontId="0" fillId="2" borderId="0" xfId="0" applyNumberFormat="1" applyFill="1" applyAlignment="1" applyProtection="1">
      <alignment horizontal="right"/>
      <protection locked="0"/>
    </xf>
    <xf numFmtId="0" fontId="9" fillId="0" borderId="0" xfId="0" applyFont="1"/>
    <xf numFmtId="0" fontId="3" fillId="0" borderId="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4" fontId="3" fillId="0" borderId="18" xfId="0" applyNumberFormat="1" applyFont="1" applyBorder="1"/>
    <xf numFmtId="164" fontId="3" fillId="0" borderId="8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/>
  </cellXfs>
  <cellStyles count="1">
    <cellStyle name="Standard" xfId="0" builtinId="0"/>
  </cellStyles>
  <dxfs count="6">
    <dxf>
      <font>
        <color rgb="FF9C5700"/>
      </font>
      <fill>
        <patternFill>
          <bgColor rgb="FFFFEB9C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28575</xdr:colOff>
      <xdr:row>14</xdr:row>
      <xdr:rowOff>28575</xdr:rowOff>
    </xdr:from>
    <xdr:ext cx="2293620" cy="41910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43EB688-A365-4FED-9553-D2ED953ADA6A}"/>
            </a:ext>
          </a:extLst>
        </xdr:cNvPr>
        <xdr:cNvSpPr txBox="1">
          <a:spLocks noChangeArrowheads="1"/>
        </xdr:cNvSpPr>
      </xdr:nvSpPr>
      <xdr:spPr bwMode="auto">
        <a:xfrm>
          <a:off x="7048500" y="3543300"/>
          <a:ext cx="2293620" cy="419100"/>
        </a:xfrm>
        <a:prstGeom prst="rect">
          <a:avLst/>
        </a:prstGeom>
        <a:solidFill>
          <a:srgbClr val="FFCCFF">
            <a:alpha val="83000"/>
          </a:srgbClr>
        </a:solidFill>
        <a:ln w="15875">
          <a:solidFill>
            <a:srgbClr val="3333CC"/>
          </a:solidFill>
          <a:miter lim="800000"/>
          <a:headEnd/>
          <a:tailEnd/>
        </a:ln>
      </xdr:spPr>
      <xdr:txBody>
        <a:bodyPr vertOverflow="clip" horzOverflow="clip" wrap="none" lIns="36576" tIns="32004" rIns="0" bIns="32004" anchor="ctr">
          <a:noAutofit/>
        </a:bodyPr>
        <a:lstStyle/>
        <a:p>
          <a:pPr algn="l" rtl="0">
            <a:defRPr sz="1000"/>
          </a:pPr>
          <a:r>
            <a:rPr lang="de-AT" sz="11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Farbe gelb = gesetzlicher Feiertag</a:t>
          </a:r>
        </a:p>
        <a:p>
          <a:pPr algn="l" rtl="0">
            <a:defRPr sz="1000"/>
          </a:pPr>
          <a:r>
            <a:rPr lang="de-AT" sz="11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Farbe blau = </a:t>
          </a:r>
          <a:r>
            <a:rPr lang="de-AT" sz="9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(sonstiger) </a:t>
          </a:r>
          <a:r>
            <a:rPr lang="de-AT" sz="11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schulfreier Tag</a:t>
          </a:r>
          <a:endParaRPr lang="de-AT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24D58-D091-8C47-9FE3-0AD4CBA3BE3E}">
  <sheetPr>
    <pageSetUpPr fitToPage="1"/>
  </sheetPr>
  <dimension ref="A1:J53"/>
  <sheetViews>
    <sheetView tabSelected="1" workbookViewId="0">
      <selection activeCell="I28" sqref="I28"/>
    </sheetView>
  </sheetViews>
  <sheetFormatPr baseColWidth="10" defaultRowHeight="16" x14ac:dyDescent="0.2"/>
  <cols>
    <col min="1" max="1" width="4.5" customWidth="1"/>
    <col min="2" max="2" width="8.1640625" style="5" customWidth="1"/>
    <col min="3" max="3" width="6.33203125" style="5" customWidth="1"/>
    <col min="4" max="8" width="14.6640625" customWidth="1"/>
    <col min="9" max="9" width="30.5" style="5" customWidth="1"/>
  </cols>
  <sheetData>
    <row r="1" spans="1:10" ht="45" customHeight="1" x14ac:dyDescent="0.55000000000000004">
      <c r="B1" s="43" t="str">
        <f>"Schuljahr " &amp; Einstellungen!F3 &amp; " an Pflichtschulen in Vbg."</f>
        <v>Schuljahr 2026/2027 an Pflichtschulen in Vbg.</v>
      </c>
      <c r="C1" s="43"/>
      <c r="D1" s="43"/>
      <c r="E1" s="43"/>
      <c r="F1" s="43"/>
      <c r="G1" s="43"/>
      <c r="H1" s="43"/>
      <c r="I1" s="43"/>
    </row>
    <row r="2" spans="1:10" x14ac:dyDescent="0.2">
      <c r="A2" s="12"/>
      <c r="B2" s="13"/>
      <c r="C2" s="13"/>
    </row>
    <row r="3" spans="1:10" ht="19" x14ac:dyDescent="0.25">
      <c r="A3" s="40" t="s">
        <v>83</v>
      </c>
      <c r="B3" s="41"/>
      <c r="C3" s="26" t="s">
        <v>84</v>
      </c>
      <c r="D3" s="14"/>
      <c r="E3" s="15"/>
      <c r="F3" s="15"/>
      <c r="G3" s="15"/>
      <c r="H3" s="15"/>
      <c r="I3" s="6"/>
    </row>
    <row r="4" spans="1:10" ht="29" customHeight="1" x14ac:dyDescent="0.25">
      <c r="A4" s="25"/>
      <c r="B4" s="38" t="s">
        <v>38</v>
      </c>
      <c r="C4" s="39"/>
      <c r="D4" s="17" t="s">
        <v>26</v>
      </c>
      <c r="E4" s="16" t="s">
        <v>27</v>
      </c>
      <c r="F4" s="16" t="s">
        <v>28</v>
      </c>
      <c r="G4" s="16" t="s">
        <v>29</v>
      </c>
      <c r="H4" s="16" t="s">
        <v>30</v>
      </c>
      <c r="I4" s="8" t="s">
        <v>82</v>
      </c>
    </row>
    <row r="5" spans="1:10" ht="18" customHeight="1" x14ac:dyDescent="0.25">
      <c r="A5" s="7"/>
      <c r="B5" s="18">
        <f>WEEKNUM(D5,21)</f>
        <v>37</v>
      </c>
      <c r="C5" s="27" t="s">
        <v>92</v>
      </c>
      <c r="D5" s="36">
        <f>D6-7</f>
        <v>46272</v>
      </c>
      <c r="E5" s="37">
        <f>D5+1</f>
        <v>46273</v>
      </c>
      <c r="F5" s="37">
        <f>E5+1</f>
        <v>46274</v>
      </c>
      <c r="G5" s="37">
        <f t="shared" ref="G5" si="0">F5+1</f>
        <v>46275</v>
      </c>
      <c r="H5" s="37">
        <f t="shared" ref="H5" si="1">G5+1</f>
        <v>46276</v>
      </c>
      <c r="I5" s="21" t="s">
        <v>93</v>
      </c>
    </row>
    <row r="6" spans="1:10" ht="19" x14ac:dyDescent="0.25">
      <c r="A6" s="7"/>
      <c r="B6" s="34">
        <f>WEEKNUM(D6,21)</f>
        <v>38</v>
      </c>
      <c r="C6" s="35" t="s">
        <v>39</v>
      </c>
      <c r="D6" s="19">
        <f>Einstellungen!B1</f>
        <v>46279</v>
      </c>
      <c r="E6" s="20">
        <f>D6+1</f>
        <v>46280</v>
      </c>
      <c r="F6" s="20">
        <f>E6+1</f>
        <v>46281</v>
      </c>
      <c r="G6" s="20">
        <f t="shared" ref="G6:H6" si="2">F6+1</f>
        <v>46282</v>
      </c>
      <c r="H6" s="20">
        <f t="shared" si="2"/>
        <v>46283</v>
      </c>
      <c r="I6" s="21"/>
    </row>
    <row r="7" spans="1:10" ht="19" x14ac:dyDescent="0.25">
      <c r="A7" s="7"/>
      <c r="B7" s="18">
        <f t="shared" ref="B7:B47" si="3">WEEKNUM(D7,21)</f>
        <v>39</v>
      </c>
      <c r="C7" s="27" t="s">
        <v>40</v>
      </c>
      <c r="D7" s="19">
        <f>D6+7</f>
        <v>46286</v>
      </c>
      <c r="E7" s="20">
        <f t="shared" ref="E7:H7" si="4">D7+1</f>
        <v>46287</v>
      </c>
      <c r="F7" s="20">
        <f t="shared" si="4"/>
        <v>46288</v>
      </c>
      <c r="G7" s="20">
        <f t="shared" si="4"/>
        <v>46289</v>
      </c>
      <c r="H7" s="20">
        <f t="shared" si="4"/>
        <v>46290</v>
      </c>
      <c r="I7" s="21"/>
    </row>
    <row r="8" spans="1:10" ht="19" x14ac:dyDescent="0.25">
      <c r="A8" s="7"/>
      <c r="B8" s="18">
        <f t="shared" si="3"/>
        <v>40</v>
      </c>
      <c r="C8" s="27" t="s">
        <v>41</v>
      </c>
      <c r="D8" s="19">
        <f t="shared" ref="D8:D49" si="5">D7+7</f>
        <v>46293</v>
      </c>
      <c r="E8" s="20">
        <f t="shared" ref="E8:H8" si="6">D8+1</f>
        <v>46294</v>
      </c>
      <c r="F8" s="20">
        <f t="shared" si="6"/>
        <v>46295</v>
      </c>
      <c r="G8" s="20">
        <f t="shared" si="6"/>
        <v>46296</v>
      </c>
      <c r="H8" s="20">
        <f t="shared" si="6"/>
        <v>46297</v>
      </c>
      <c r="I8" s="21"/>
    </row>
    <row r="9" spans="1:10" ht="19" x14ac:dyDescent="0.25">
      <c r="A9" s="7"/>
      <c r="B9" s="18">
        <f t="shared" si="3"/>
        <v>41</v>
      </c>
      <c r="C9" s="27" t="s">
        <v>42</v>
      </c>
      <c r="D9" s="19">
        <f t="shared" si="5"/>
        <v>46300</v>
      </c>
      <c r="E9" s="20">
        <f t="shared" ref="E9:H9" si="7">D9+1</f>
        <v>46301</v>
      </c>
      <c r="F9" s="20">
        <f t="shared" si="7"/>
        <v>46302</v>
      </c>
      <c r="G9" s="20">
        <f t="shared" si="7"/>
        <v>46303</v>
      </c>
      <c r="H9" s="20">
        <f t="shared" si="7"/>
        <v>46304</v>
      </c>
      <c r="I9" s="21"/>
    </row>
    <row r="10" spans="1:10" ht="19" x14ac:dyDescent="0.25">
      <c r="A10" s="7"/>
      <c r="B10" s="18">
        <f t="shared" si="3"/>
        <v>42</v>
      </c>
      <c r="C10" s="27" t="s">
        <v>43</v>
      </c>
      <c r="D10" s="19">
        <f t="shared" si="5"/>
        <v>46307</v>
      </c>
      <c r="E10" s="20">
        <f t="shared" ref="E10:H10" si="8">D10+1</f>
        <v>46308</v>
      </c>
      <c r="F10" s="20">
        <f t="shared" si="8"/>
        <v>46309</v>
      </c>
      <c r="G10" s="20">
        <f t="shared" si="8"/>
        <v>46310</v>
      </c>
      <c r="H10" s="20">
        <f t="shared" si="8"/>
        <v>46311</v>
      </c>
      <c r="I10" s="21"/>
    </row>
    <row r="11" spans="1:10" ht="19" x14ac:dyDescent="0.25">
      <c r="A11" s="7"/>
      <c r="B11" s="18">
        <f t="shared" si="3"/>
        <v>43</v>
      </c>
      <c r="C11" s="27" t="s">
        <v>44</v>
      </c>
      <c r="D11" s="19">
        <f t="shared" si="5"/>
        <v>46314</v>
      </c>
      <c r="E11" s="20">
        <f t="shared" ref="E11:H11" si="9">D11+1</f>
        <v>46315</v>
      </c>
      <c r="F11" s="20">
        <f t="shared" si="9"/>
        <v>46316</v>
      </c>
      <c r="G11" s="20">
        <f t="shared" si="9"/>
        <v>46317</v>
      </c>
      <c r="H11" s="20">
        <f t="shared" si="9"/>
        <v>46318</v>
      </c>
      <c r="I11" s="21"/>
    </row>
    <row r="12" spans="1:10" ht="19" x14ac:dyDescent="0.25">
      <c r="A12" s="7"/>
      <c r="B12" s="18">
        <f t="shared" si="3"/>
        <v>44</v>
      </c>
      <c r="C12" s="27" t="s">
        <v>45</v>
      </c>
      <c r="D12" s="19">
        <f t="shared" si="5"/>
        <v>46321</v>
      </c>
      <c r="E12" s="20">
        <f t="shared" ref="E12:H12" si="10">D12+1</f>
        <v>46322</v>
      </c>
      <c r="F12" s="20">
        <f t="shared" si="10"/>
        <v>46323</v>
      </c>
      <c r="G12" s="20">
        <f t="shared" si="10"/>
        <v>46324</v>
      </c>
      <c r="H12" s="20">
        <f t="shared" si="10"/>
        <v>46325</v>
      </c>
      <c r="I12" s="21" t="str">
        <f>IF(H12&gt;=DATE(Einstellungen!F2,10,26),"Nationalfeiertag, Herbstferien","")</f>
        <v>Nationalfeiertag, Herbstferien</v>
      </c>
      <c r="J12" s="28"/>
    </row>
    <row r="13" spans="1:10" ht="19" x14ac:dyDescent="0.25">
      <c r="A13" s="7"/>
      <c r="B13" s="18">
        <f t="shared" si="3"/>
        <v>45</v>
      </c>
      <c r="C13" s="27" t="s">
        <v>46</v>
      </c>
      <c r="D13" s="19">
        <f t="shared" si="5"/>
        <v>46328</v>
      </c>
      <c r="E13" s="20">
        <f t="shared" ref="E13:H13" si="11">D13+1</f>
        <v>46329</v>
      </c>
      <c r="F13" s="20">
        <f t="shared" si="11"/>
        <v>46330</v>
      </c>
      <c r="G13" s="20">
        <f t="shared" si="11"/>
        <v>46331</v>
      </c>
      <c r="H13" s="20">
        <f t="shared" si="11"/>
        <v>46332</v>
      </c>
      <c r="I13" s="21" t="str">
        <f>IF(D13=DATE(Einstellungen!F2,10,27),"Herbstferien",IF(D13=DATE(Einstellungen!F2,11,2),"Allerseelen",IF(H13=DATE(Einstellungen!F2,11,1),"Herbstferien, Allerheiligen",IF(D13&lt;DATE(Einstellungen!F2,11,2),"Allerheiligen, Allerseelen",""))))</f>
        <v>Allerseelen</v>
      </c>
    </row>
    <row r="14" spans="1:10" ht="19" x14ac:dyDescent="0.25">
      <c r="A14" s="7"/>
      <c r="B14" s="18">
        <f t="shared" si="3"/>
        <v>46</v>
      </c>
      <c r="C14" s="27" t="s">
        <v>47</v>
      </c>
      <c r="D14" s="19">
        <f t="shared" si="5"/>
        <v>46335</v>
      </c>
      <c r="E14" s="20">
        <f t="shared" ref="E14:H14" si="12">D14+1</f>
        <v>46336</v>
      </c>
      <c r="F14" s="20">
        <f t="shared" si="12"/>
        <v>46337</v>
      </c>
      <c r="G14" s="20">
        <f t="shared" si="12"/>
        <v>46338</v>
      </c>
      <c r="H14" s="20">
        <f t="shared" si="12"/>
        <v>46339</v>
      </c>
      <c r="I14" s="21"/>
    </row>
    <row r="15" spans="1:10" ht="19" x14ac:dyDescent="0.25">
      <c r="A15" s="7"/>
      <c r="B15" s="18">
        <f t="shared" si="3"/>
        <v>47</v>
      </c>
      <c r="C15" s="27" t="s">
        <v>48</v>
      </c>
      <c r="D15" s="19">
        <f t="shared" si="5"/>
        <v>46342</v>
      </c>
      <c r="E15" s="20">
        <f t="shared" ref="E15:H15" si="13">D15+1</f>
        <v>46343</v>
      </c>
      <c r="F15" s="20">
        <f t="shared" si="13"/>
        <v>46344</v>
      </c>
      <c r="G15" s="20">
        <f t="shared" si="13"/>
        <v>46345</v>
      </c>
      <c r="H15" s="20">
        <f t="shared" si="13"/>
        <v>46346</v>
      </c>
      <c r="I15" s="21"/>
    </row>
    <row r="16" spans="1:10" ht="19" x14ac:dyDescent="0.25">
      <c r="A16" s="7"/>
      <c r="B16" s="18">
        <f t="shared" si="3"/>
        <v>48</v>
      </c>
      <c r="C16" s="27" t="s">
        <v>49</v>
      </c>
      <c r="D16" s="19">
        <f t="shared" si="5"/>
        <v>46349</v>
      </c>
      <c r="E16" s="20">
        <f t="shared" ref="E16:H16" si="14">D16+1</f>
        <v>46350</v>
      </c>
      <c r="F16" s="20">
        <f t="shared" si="14"/>
        <v>46351</v>
      </c>
      <c r="G16" s="20">
        <f t="shared" si="14"/>
        <v>46352</v>
      </c>
      <c r="H16" s="20">
        <f t="shared" si="14"/>
        <v>46353</v>
      </c>
      <c r="I16" s="21"/>
    </row>
    <row r="17" spans="1:9" ht="19" x14ac:dyDescent="0.25">
      <c r="A17" s="7"/>
      <c r="B17" s="18">
        <f t="shared" si="3"/>
        <v>49</v>
      </c>
      <c r="C17" s="27" t="s">
        <v>50</v>
      </c>
      <c r="D17" s="19">
        <f t="shared" si="5"/>
        <v>46356</v>
      </c>
      <c r="E17" s="20">
        <f t="shared" ref="E17:H17" si="15">D17+1</f>
        <v>46357</v>
      </c>
      <c r="F17" s="20">
        <f t="shared" si="15"/>
        <v>46358</v>
      </c>
      <c r="G17" s="20">
        <f t="shared" si="15"/>
        <v>46359</v>
      </c>
      <c r="H17" s="20">
        <f t="shared" si="15"/>
        <v>46360</v>
      </c>
      <c r="I17" s="21"/>
    </row>
    <row r="18" spans="1:9" ht="19" x14ac:dyDescent="0.25">
      <c r="A18" s="7"/>
      <c r="B18" s="18">
        <f t="shared" si="3"/>
        <v>50</v>
      </c>
      <c r="C18" s="27" t="s">
        <v>51</v>
      </c>
      <c r="D18" s="19">
        <f t="shared" si="5"/>
        <v>46363</v>
      </c>
      <c r="E18" s="20">
        <f t="shared" ref="E18:H18" si="16">D18+1</f>
        <v>46364</v>
      </c>
      <c r="F18" s="20">
        <f t="shared" si="16"/>
        <v>46365</v>
      </c>
      <c r="G18" s="20">
        <f t="shared" si="16"/>
        <v>46366</v>
      </c>
      <c r="H18" s="20">
        <f t="shared" si="16"/>
        <v>46367</v>
      </c>
      <c r="I18" s="21" t="str">
        <f>IF(H18&gt;=DATE(Einstellungen!F2,12,8),"Maria Empfängnis","")</f>
        <v>Maria Empfängnis</v>
      </c>
    </row>
    <row r="19" spans="1:9" ht="19" x14ac:dyDescent="0.25">
      <c r="A19" s="7"/>
      <c r="B19" s="18">
        <f t="shared" si="3"/>
        <v>51</v>
      </c>
      <c r="C19" s="27" t="s">
        <v>52</v>
      </c>
      <c r="D19" s="19">
        <f t="shared" si="5"/>
        <v>46370</v>
      </c>
      <c r="E19" s="20">
        <f t="shared" ref="E19:H19" si="17">D19+1</f>
        <v>46371</v>
      </c>
      <c r="F19" s="20">
        <f t="shared" si="17"/>
        <v>46372</v>
      </c>
      <c r="G19" s="20">
        <f t="shared" si="17"/>
        <v>46373</v>
      </c>
      <c r="H19" s="20">
        <f t="shared" si="17"/>
        <v>46374</v>
      </c>
      <c r="I19" s="21" t="str">
        <f>IF(D19&lt;=DATE(Einstellungen!F2,12,8),"Maria Empfängnis","")</f>
        <v/>
      </c>
    </row>
    <row r="20" spans="1:9" ht="19" x14ac:dyDescent="0.25">
      <c r="A20" s="7"/>
      <c r="B20" s="18">
        <f t="shared" si="3"/>
        <v>52</v>
      </c>
      <c r="C20" s="27" t="s">
        <v>53</v>
      </c>
      <c r="D20" s="19">
        <f t="shared" si="5"/>
        <v>46377</v>
      </c>
      <c r="E20" s="20">
        <f t="shared" ref="E20:H20" si="18">D20+1</f>
        <v>46378</v>
      </c>
      <c r="F20" s="20">
        <f t="shared" si="18"/>
        <v>46379</v>
      </c>
      <c r="G20" s="20">
        <f t="shared" si="18"/>
        <v>46380</v>
      </c>
      <c r="H20" s="20">
        <f t="shared" si="18"/>
        <v>46381</v>
      </c>
      <c r="I20" s="21" t="str">
        <f>IF(H20=DATE(Einstellungen!F2,12,24),"Heiligabend",IF(H20&gt;=DATE(Einstellungen!F2,12,25),"Heiligabend, Weihnachten",""))</f>
        <v>Heiligabend, Weihnachten</v>
      </c>
    </row>
    <row r="21" spans="1:9" ht="19" x14ac:dyDescent="0.25">
      <c r="A21" s="7"/>
      <c r="B21" s="18">
        <f t="shared" si="3"/>
        <v>53</v>
      </c>
      <c r="C21" s="27" t="s">
        <v>54</v>
      </c>
      <c r="D21" s="19">
        <f t="shared" si="5"/>
        <v>46384</v>
      </c>
      <c r="E21" s="20">
        <f t="shared" ref="E21:H21" si="19">D21+1</f>
        <v>46385</v>
      </c>
      <c r="F21" s="20">
        <f t="shared" si="19"/>
        <v>46386</v>
      </c>
      <c r="G21" s="20">
        <f t="shared" si="19"/>
        <v>46387</v>
      </c>
      <c r="H21" s="20">
        <f t="shared" si="19"/>
        <v>46388</v>
      </c>
      <c r="I21" s="42" t="s">
        <v>85</v>
      </c>
    </row>
    <row r="22" spans="1:9" ht="19" x14ac:dyDescent="0.25">
      <c r="A22" s="7"/>
      <c r="B22" s="18">
        <f t="shared" si="3"/>
        <v>1</v>
      </c>
      <c r="C22" s="27" t="s">
        <v>55</v>
      </c>
      <c r="D22" s="19">
        <f t="shared" si="5"/>
        <v>46391</v>
      </c>
      <c r="E22" s="20">
        <f t="shared" ref="E22:H22" si="20">D22+1</f>
        <v>46392</v>
      </c>
      <c r="F22" s="20">
        <f t="shared" si="20"/>
        <v>46393</v>
      </c>
      <c r="G22" s="20">
        <f t="shared" si="20"/>
        <v>46394</v>
      </c>
      <c r="H22" s="20">
        <f t="shared" si="20"/>
        <v>46395</v>
      </c>
      <c r="I22" s="42"/>
    </row>
    <row r="23" spans="1:9" ht="19" x14ac:dyDescent="0.25">
      <c r="A23" s="7"/>
      <c r="B23" s="18">
        <f t="shared" si="3"/>
        <v>2</v>
      </c>
      <c r="C23" s="27" t="s">
        <v>56</v>
      </c>
      <c r="D23" s="19">
        <f t="shared" si="5"/>
        <v>46398</v>
      </c>
      <c r="E23" s="20">
        <f t="shared" ref="E23:H23" si="21">D23+1</f>
        <v>46399</v>
      </c>
      <c r="F23" s="20">
        <f t="shared" si="21"/>
        <v>46400</v>
      </c>
      <c r="G23" s="20">
        <f t="shared" si="21"/>
        <v>46401</v>
      </c>
      <c r="H23" s="20">
        <f t="shared" si="21"/>
        <v>46402</v>
      </c>
      <c r="I23" s="21" t="str">
        <f>IF(D23&lt;=DATE(Einstellungen!F2+1,1,6),"Epiphanie","")</f>
        <v/>
      </c>
    </row>
    <row r="24" spans="1:9" ht="19" x14ac:dyDescent="0.25">
      <c r="A24" s="7"/>
      <c r="B24" s="18">
        <f t="shared" si="3"/>
        <v>3</v>
      </c>
      <c r="C24" s="27" t="s">
        <v>57</v>
      </c>
      <c r="D24" s="19">
        <f t="shared" si="5"/>
        <v>46405</v>
      </c>
      <c r="E24" s="20">
        <f t="shared" ref="E24:H24" si="22">D24+1</f>
        <v>46406</v>
      </c>
      <c r="F24" s="20">
        <f t="shared" si="22"/>
        <v>46407</v>
      </c>
      <c r="G24" s="20">
        <f t="shared" si="22"/>
        <v>46408</v>
      </c>
      <c r="H24" s="20">
        <f t="shared" si="22"/>
        <v>46409</v>
      </c>
      <c r="I24" s="21"/>
    </row>
    <row r="25" spans="1:9" ht="19" x14ac:dyDescent="0.25">
      <c r="A25" s="7"/>
      <c r="B25" s="18">
        <f t="shared" si="3"/>
        <v>4</v>
      </c>
      <c r="C25" s="27" t="s">
        <v>58</v>
      </c>
      <c r="D25" s="19">
        <f t="shared" si="5"/>
        <v>46412</v>
      </c>
      <c r="E25" s="20">
        <f t="shared" ref="E25:H25" si="23">D25+1</f>
        <v>46413</v>
      </c>
      <c r="F25" s="20">
        <f t="shared" si="23"/>
        <v>46414</v>
      </c>
      <c r="G25" s="20">
        <f t="shared" si="23"/>
        <v>46415</v>
      </c>
      <c r="H25" s="20">
        <f t="shared" si="23"/>
        <v>46416</v>
      </c>
      <c r="I25" s="21"/>
    </row>
    <row r="26" spans="1:9" ht="19" x14ac:dyDescent="0.25">
      <c r="A26" s="7"/>
      <c r="B26" s="18">
        <f t="shared" si="3"/>
        <v>5</v>
      </c>
      <c r="C26" s="27" t="s">
        <v>59</v>
      </c>
      <c r="D26" s="19">
        <f t="shared" si="5"/>
        <v>46419</v>
      </c>
      <c r="E26" s="20">
        <f t="shared" ref="E26:H26" si="24">D26+1</f>
        <v>46420</v>
      </c>
      <c r="F26" s="20">
        <f t="shared" si="24"/>
        <v>46421</v>
      </c>
      <c r="G26" s="20">
        <f t="shared" si="24"/>
        <v>46422</v>
      </c>
      <c r="H26" s="20">
        <f t="shared" si="24"/>
        <v>46423</v>
      </c>
      <c r="I26" s="21"/>
    </row>
    <row r="27" spans="1:9" ht="19" x14ac:dyDescent="0.25">
      <c r="A27" s="7"/>
      <c r="B27" s="18">
        <f t="shared" si="3"/>
        <v>6</v>
      </c>
      <c r="C27" s="27" t="s">
        <v>60</v>
      </c>
      <c r="D27" s="19">
        <f t="shared" si="5"/>
        <v>46426</v>
      </c>
      <c r="E27" s="20">
        <f t="shared" ref="E27:H27" si="25">D27+1</f>
        <v>46427</v>
      </c>
      <c r="F27" s="20">
        <f t="shared" si="25"/>
        <v>46428</v>
      </c>
      <c r="G27" s="20">
        <f t="shared" si="25"/>
        <v>46429</v>
      </c>
      <c r="H27" s="20">
        <f t="shared" si="25"/>
        <v>46430</v>
      </c>
      <c r="I27" s="21" t="str">
        <f>IF(D27=Einstellungen!B47,"Semesterferien","")</f>
        <v/>
      </c>
    </row>
    <row r="28" spans="1:9" ht="19" x14ac:dyDescent="0.25">
      <c r="A28" s="7"/>
      <c r="B28" s="18">
        <f t="shared" si="3"/>
        <v>7</v>
      </c>
      <c r="C28" s="27" t="s">
        <v>61</v>
      </c>
      <c r="D28" s="19">
        <f t="shared" si="5"/>
        <v>46433</v>
      </c>
      <c r="E28" s="20">
        <f t="shared" ref="E28:H28" si="26">D28+1</f>
        <v>46434</v>
      </c>
      <c r="F28" s="20">
        <f t="shared" si="26"/>
        <v>46435</v>
      </c>
      <c r="G28" s="20">
        <f t="shared" si="26"/>
        <v>46436</v>
      </c>
      <c r="H28" s="20">
        <f t="shared" si="26"/>
        <v>46437</v>
      </c>
      <c r="I28" s="21" t="str">
        <f>IF(D28=Einstellungen!B47,"Semesterferien","")</f>
        <v>Semesterferien</v>
      </c>
    </row>
    <row r="29" spans="1:9" ht="19" x14ac:dyDescent="0.25">
      <c r="A29" s="7"/>
      <c r="B29" s="18">
        <f t="shared" si="3"/>
        <v>8</v>
      </c>
      <c r="C29" s="27" t="s">
        <v>62</v>
      </c>
      <c r="D29" s="19">
        <f t="shared" si="5"/>
        <v>46440</v>
      </c>
      <c r="E29" s="20">
        <f t="shared" ref="E29:H29" si="27">D29+1</f>
        <v>46441</v>
      </c>
      <c r="F29" s="20">
        <f t="shared" si="27"/>
        <v>46442</v>
      </c>
      <c r="G29" s="20">
        <f t="shared" si="27"/>
        <v>46443</v>
      </c>
      <c r="H29" s="20">
        <f t="shared" si="27"/>
        <v>46444</v>
      </c>
      <c r="I29" s="21"/>
    </row>
    <row r="30" spans="1:9" ht="19" x14ac:dyDescent="0.25">
      <c r="A30" s="7"/>
      <c r="B30" s="18">
        <f t="shared" si="3"/>
        <v>9</v>
      </c>
      <c r="C30" s="27" t="s">
        <v>63</v>
      </c>
      <c r="D30" s="19">
        <f t="shared" si="5"/>
        <v>46447</v>
      </c>
      <c r="E30" s="20">
        <f t="shared" ref="E30:H30" si="28">D30+1</f>
        <v>46448</v>
      </c>
      <c r="F30" s="20">
        <f t="shared" si="28"/>
        <v>46449</v>
      </c>
      <c r="G30" s="20">
        <f t="shared" si="28"/>
        <v>46450</v>
      </c>
      <c r="H30" s="20">
        <f t="shared" si="28"/>
        <v>46451</v>
      </c>
      <c r="I30" s="21"/>
    </row>
    <row r="31" spans="1:9" ht="19" x14ac:dyDescent="0.25">
      <c r="A31" s="7"/>
      <c r="B31" s="18">
        <f t="shared" si="3"/>
        <v>10</v>
      </c>
      <c r="C31" s="27" t="s">
        <v>64</v>
      </c>
      <c r="D31" s="19">
        <f t="shared" si="5"/>
        <v>46454</v>
      </c>
      <c r="E31" s="20">
        <f t="shared" ref="E31:H31" si="29">D31+1</f>
        <v>46455</v>
      </c>
      <c r="F31" s="20">
        <f t="shared" si="29"/>
        <v>46456</v>
      </c>
      <c r="G31" s="20">
        <f t="shared" si="29"/>
        <v>46457</v>
      </c>
      <c r="H31" s="20">
        <f t="shared" si="29"/>
        <v>46458</v>
      </c>
      <c r="I31" s="21"/>
    </row>
    <row r="32" spans="1:9" ht="19" x14ac:dyDescent="0.25">
      <c r="A32" s="7"/>
      <c r="B32" s="18">
        <f t="shared" si="3"/>
        <v>11</v>
      </c>
      <c r="C32" s="27" t="s">
        <v>65</v>
      </c>
      <c r="D32" s="19">
        <f t="shared" si="5"/>
        <v>46461</v>
      </c>
      <c r="E32" s="20">
        <f t="shared" ref="E32:H32" si="30">D32+1</f>
        <v>46462</v>
      </c>
      <c r="F32" s="20">
        <f t="shared" si="30"/>
        <v>46463</v>
      </c>
      <c r="G32" s="20">
        <f t="shared" si="30"/>
        <v>46464</v>
      </c>
      <c r="H32" s="20">
        <f t="shared" si="30"/>
        <v>46465</v>
      </c>
      <c r="I32" s="21" t="str">
        <f>IF(H32&gt;=DATE(Einstellungen!F2+1,3,19),"Hl. Josef","")</f>
        <v>Hl. Josef</v>
      </c>
    </row>
    <row r="33" spans="1:9" ht="19" x14ac:dyDescent="0.25">
      <c r="A33" s="7"/>
      <c r="B33" s="18">
        <f t="shared" si="3"/>
        <v>12</v>
      </c>
      <c r="C33" s="27" t="s">
        <v>66</v>
      </c>
      <c r="D33" s="19">
        <f t="shared" si="5"/>
        <v>46468</v>
      </c>
      <c r="E33" s="20">
        <f t="shared" ref="E33:H33" si="31">D33+1</f>
        <v>46469</v>
      </c>
      <c r="F33" s="20">
        <f t="shared" si="31"/>
        <v>46470</v>
      </c>
      <c r="G33" s="20">
        <f t="shared" si="31"/>
        <v>46471</v>
      </c>
      <c r="H33" s="20">
        <f t="shared" si="31"/>
        <v>46472</v>
      </c>
      <c r="I33" s="21" t="str">
        <f>IF(D33&lt;=DATE(Einstellungen!F2+1,3,19),"Hl. Josef",IF(D33=Einstellungen!B53,"Osterferien",""))</f>
        <v>Osterferien</v>
      </c>
    </row>
    <row r="34" spans="1:9" ht="19" x14ac:dyDescent="0.25">
      <c r="A34" s="7"/>
      <c r="B34" s="18">
        <f t="shared" si="3"/>
        <v>13</v>
      </c>
      <c r="C34" s="27" t="s">
        <v>67</v>
      </c>
      <c r="D34" s="19">
        <f t="shared" si="5"/>
        <v>46475</v>
      </c>
      <c r="E34" s="20">
        <f t="shared" ref="E34:H34" si="32">D34+1</f>
        <v>46476</v>
      </c>
      <c r="F34" s="20">
        <f t="shared" si="32"/>
        <v>46477</v>
      </c>
      <c r="G34" s="20">
        <f t="shared" si="32"/>
        <v>46478</v>
      </c>
      <c r="H34" s="20">
        <f t="shared" si="32"/>
        <v>46479</v>
      </c>
      <c r="I34" s="21" t="str">
        <f>IF(D34=Einstellungen!$B$53,"Osterferien",IF(D34=Einstellungen!$B$21,"Ostermontag",""))</f>
        <v>Ostermontag</v>
      </c>
    </row>
    <row r="35" spans="1:9" ht="19" x14ac:dyDescent="0.25">
      <c r="A35" s="7"/>
      <c r="B35" s="18">
        <f t="shared" si="3"/>
        <v>14</v>
      </c>
      <c r="C35" s="27" t="s">
        <v>68</v>
      </c>
      <c r="D35" s="19">
        <f t="shared" si="5"/>
        <v>46482</v>
      </c>
      <c r="E35" s="20">
        <f t="shared" ref="E35:H35" si="33">D35+1</f>
        <v>46483</v>
      </c>
      <c r="F35" s="20">
        <f t="shared" si="33"/>
        <v>46484</v>
      </c>
      <c r="G35" s="20">
        <f t="shared" si="33"/>
        <v>46485</v>
      </c>
      <c r="H35" s="20">
        <f t="shared" si="33"/>
        <v>46486</v>
      </c>
      <c r="I35" s="21" t="str">
        <f>IF(D35=Einstellungen!$B$53,"Osterferien",IF(D35=Einstellungen!$B$21,"Ostermontag",""))</f>
        <v/>
      </c>
    </row>
    <row r="36" spans="1:9" ht="19" x14ac:dyDescent="0.25">
      <c r="A36" s="7"/>
      <c r="B36" s="18">
        <f t="shared" si="3"/>
        <v>15</v>
      </c>
      <c r="C36" s="27" t="s">
        <v>69</v>
      </c>
      <c r="D36" s="19">
        <f t="shared" si="5"/>
        <v>46489</v>
      </c>
      <c r="E36" s="20">
        <f t="shared" ref="E36:H36" si="34">D36+1</f>
        <v>46490</v>
      </c>
      <c r="F36" s="20">
        <f t="shared" si="34"/>
        <v>46491</v>
      </c>
      <c r="G36" s="20">
        <f t="shared" si="34"/>
        <v>46492</v>
      </c>
      <c r="H36" s="20">
        <f t="shared" si="34"/>
        <v>46493</v>
      </c>
      <c r="I36" s="21" t="str">
        <f>IF(D36=Einstellungen!$B$53,"Osterferien",IF(D36=Einstellungen!$B$21,"Ostermontag",""))</f>
        <v/>
      </c>
    </row>
    <row r="37" spans="1:9" ht="19" x14ac:dyDescent="0.25">
      <c r="A37" s="7"/>
      <c r="B37" s="18">
        <f t="shared" si="3"/>
        <v>16</v>
      </c>
      <c r="C37" s="27" t="s">
        <v>70</v>
      </c>
      <c r="D37" s="19">
        <f t="shared" si="5"/>
        <v>46496</v>
      </c>
      <c r="E37" s="20">
        <f t="shared" ref="E37:H37" si="35">D37+1</f>
        <v>46497</v>
      </c>
      <c r="F37" s="20">
        <f t="shared" si="35"/>
        <v>46498</v>
      </c>
      <c r="G37" s="20">
        <f t="shared" si="35"/>
        <v>46499</v>
      </c>
      <c r="H37" s="20">
        <f t="shared" si="35"/>
        <v>46500</v>
      </c>
      <c r="I37" s="21" t="str">
        <f>IF(D37=Einstellungen!$B$53,"Osterferien",IF(D37=Einstellungen!$B$21,"Ostermontag",""))</f>
        <v/>
      </c>
    </row>
    <row r="38" spans="1:9" ht="19" x14ac:dyDescent="0.25">
      <c r="A38" s="7"/>
      <c r="B38" s="18">
        <f t="shared" si="3"/>
        <v>17</v>
      </c>
      <c r="C38" s="27" t="s">
        <v>71</v>
      </c>
      <c r="D38" s="19">
        <f t="shared" si="5"/>
        <v>46503</v>
      </c>
      <c r="E38" s="20">
        <f t="shared" ref="E38:H38" si="36">D38+1</f>
        <v>46504</v>
      </c>
      <c r="F38" s="20">
        <f t="shared" si="36"/>
        <v>46505</v>
      </c>
      <c r="G38" s="20">
        <f t="shared" si="36"/>
        <v>46506</v>
      </c>
      <c r="H38" s="20">
        <f t="shared" si="36"/>
        <v>46507</v>
      </c>
      <c r="I38" s="21" t="str">
        <f>IF(D38=Einstellungen!$B$53,"Osterferien",IF(D38=Einstellungen!$B$21,"Ostermontag",""))</f>
        <v/>
      </c>
    </row>
    <row r="39" spans="1:9" ht="19" x14ac:dyDescent="0.25">
      <c r="A39" s="7"/>
      <c r="B39" s="18">
        <f t="shared" si="3"/>
        <v>18</v>
      </c>
      <c r="C39" s="27" t="s">
        <v>72</v>
      </c>
      <c r="D39" s="19">
        <f t="shared" si="5"/>
        <v>46510</v>
      </c>
      <c r="E39" s="20">
        <f t="shared" ref="E39:H39" si="37">D39+1</f>
        <v>46511</v>
      </c>
      <c r="F39" s="20">
        <f t="shared" si="37"/>
        <v>46512</v>
      </c>
      <c r="G39" s="20">
        <f t="shared" si="37"/>
        <v>46513</v>
      </c>
      <c r="H39" s="20">
        <f t="shared" si="37"/>
        <v>46514</v>
      </c>
      <c r="I39" s="21" t="str">
        <f>IF(AND(D39&lt;=DATE(Einstellungen!F2+1,5,1),H39&gt;=DATE(Einstellungen!F2+1,5,1)),"Staatsfeiertag",IF(G39=Einstellungen!$B$22,"Christi Himmelfahrt",""))</f>
        <v>Christi Himmelfahrt</v>
      </c>
    </row>
    <row r="40" spans="1:9" ht="19" x14ac:dyDescent="0.25">
      <c r="A40" s="7"/>
      <c r="B40" s="18">
        <f t="shared" si="3"/>
        <v>19</v>
      </c>
      <c r="C40" s="27" t="s">
        <v>73</v>
      </c>
      <c r="D40" s="19">
        <f t="shared" si="5"/>
        <v>46517</v>
      </c>
      <c r="E40" s="20">
        <f t="shared" ref="E40:H40" si="38">D40+1</f>
        <v>46518</v>
      </c>
      <c r="F40" s="20">
        <f t="shared" si="38"/>
        <v>46519</v>
      </c>
      <c r="G40" s="20">
        <f t="shared" si="38"/>
        <v>46520</v>
      </c>
      <c r="H40" s="20">
        <f t="shared" si="38"/>
        <v>46521</v>
      </c>
      <c r="I40" s="21" t="str">
        <f>IF(G40=Einstellungen!$B$22,"Christi Himmelfahrt","")</f>
        <v/>
      </c>
    </row>
    <row r="41" spans="1:9" ht="19" x14ac:dyDescent="0.25">
      <c r="A41" s="7"/>
      <c r="B41" s="18">
        <f t="shared" si="3"/>
        <v>20</v>
      </c>
      <c r="C41" s="27" t="s">
        <v>74</v>
      </c>
      <c r="D41" s="19">
        <f t="shared" si="5"/>
        <v>46524</v>
      </c>
      <c r="E41" s="20">
        <f t="shared" ref="E41:H41" si="39">D41+1</f>
        <v>46525</v>
      </c>
      <c r="F41" s="20">
        <f t="shared" si="39"/>
        <v>46526</v>
      </c>
      <c r="G41" s="20">
        <f t="shared" si="39"/>
        <v>46527</v>
      </c>
      <c r="H41" s="20">
        <f t="shared" si="39"/>
        <v>46528</v>
      </c>
      <c r="I41" s="21" t="str">
        <f>IF(G41=Einstellungen!$B$22,"Christi Himmelfahrt",IF(D41=Einstellungen!$B$23,"Pfingstmontag",""))</f>
        <v>Pfingstmontag</v>
      </c>
    </row>
    <row r="42" spans="1:9" ht="19" x14ac:dyDescent="0.25">
      <c r="A42" s="7"/>
      <c r="B42" s="18">
        <f t="shared" si="3"/>
        <v>21</v>
      </c>
      <c r="C42" s="27" t="s">
        <v>75</v>
      </c>
      <c r="D42" s="19">
        <f t="shared" si="5"/>
        <v>46531</v>
      </c>
      <c r="E42" s="20">
        <f t="shared" ref="E42:H42" si="40">D42+1</f>
        <v>46532</v>
      </c>
      <c r="F42" s="20">
        <f t="shared" si="40"/>
        <v>46533</v>
      </c>
      <c r="G42" s="20">
        <f t="shared" si="40"/>
        <v>46534</v>
      </c>
      <c r="H42" s="20">
        <f t="shared" si="40"/>
        <v>46535</v>
      </c>
      <c r="I42" s="21" t="str">
        <f>IF(G42=Einstellungen!$B$22,"Christi Himmelfahrt",IF(D42=Einstellungen!$B$23,"Pfingstmontag",IF(G42=Einstellungen!$B$24,"Fronleichnam","")))</f>
        <v>Fronleichnam</v>
      </c>
    </row>
    <row r="43" spans="1:9" ht="19" x14ac:dyDescent="0.25">
      <c r="A43" s="7"/>
      <c r="B43" s="18">
        <f t="shared" si="3"/>
        <v>22</v>
      </c>
      <c r="C43" s="27" t="s">
        <v>76</v>
      </c>
      <c r="D43" s="19">
        <f t="shared" si="5"/>
        <v>46538</v>
      </c>
      <c r="E43" s="20">
        <f t="shared" ref="E43:H43" si="41">D43+1</f>
        <v>46539</v>
      </c>
      <c r="F43" s="20">
        <f t="shared" si="41"/>
        <v>46540</v>
      </c>
      <c r="G43" s="20">
        <f t="shared" si="41"/>
        <v>46541</v>
      </c>
      <c r="H43" s="20">
        <f t="shared" si="41"/>
        <v>46542</v>
      </c>
      <c r="I43" s="21" t="str">
        <f>IF(G43=Einstellungen!$B$22,"Christi Himmelfahrt",IF(D43=Einstellungen!$B$23,"Pfingstmontag",IF(G43=Einstellungen!$B$24,"Fronleichnam","")))</f>
        <v/>
      </c>
    </row>
    <row r="44" spans="1:9" ht="19" x14ac:dyDescent="0.25">
      <c r="A44" s="7"/>
      <c r="B44" s="18">
        <f t="shared" si="3"/>
        <v>23</v>
      </c>
      <c r="C44" s="27" t="s">
        <v>77</v>
      </c>
      <c r="D44" s="19">
        <f t="shared" si="5"/>
        <v>46545</v>
      </c>
      <c r="E44" s="20">
        <f t="shared" ref="E44:H44" si="42">D44+1</f>
        <v>46546</v>
      </c>
      <c r="F44" s="20">
        <f t="shared" si="42"/>
        <v>46547</v>
      </c>
      <c r="G44" s="20">
        <f t="shared" si="42"/>
        <v>46548</v>
      </c>
      <c r="H44" s="20">
        <f t="shared" si="42"/>
        <v>46549</v>
      </c>
      <c r="I44" s="21" t="str">
        <f>IF(G44=Einstellungen!$B$22,"Christi Himmelfahrt",IF(D44=Einstellungen!$B$23,"Pfingstmontag",IF(G44=Einstellungen!$B$24,"Fronleichnam","")))</f>
        <v/>
      </c>
    </row>
    <row r="45" spans="1:9" ht="19" x14ac:dyDescent="0.25">
      <c r="A45" s="7"/>
      <c r="B45" s="18">
        <f t="shared" si="3"/>
        <v>24</v>
      </c>
      <c r="C45" s="27" t="s">
        <v>78</v>
      </c>
      <c r="D45" s="19">
        <f t="shared" si="5"/>
        <v>46552</v>
      </c>
      <c r="E45" s="20">
        <f t="shared" ref="E45:H45" si="43">D45+1</f>
        <v>46553</v>
      </c>
      <c r="F45" s="20">
        <f t="shared" si="43"/>
        <v>46554</v>
      </c>
      <c r="G45" s="20">
        <f t="shared" si="43"/>
        <v>46555</v>
      </c>
      <c r="H45" s="20">
        <f t="shared" si="43"/>
        <v>46556</v>
      </c>
      <c r="I45" s="21" t="str">
        <f>IF(G45=Einstellungen!$B$22,"Christi Himmelfahrt",IF(D45=Einstellungen!$B$23,"Pfingstmontag",IF(G45=Einstellungen!$B$24,"Fronleichnam","")))</f>
        <v/>
      </c>
    </row>
    <row r="46" spans="1:9" ht="19" x14ac:dyDescent="0.25">
      <c r="A46" s="7"/>
      <c r="B46" s="18">
        <f t="shared" si="3"/>
        <v>25</v>
      </c>
      <c r="C46" s="27" t="s">
        <v>79</v>
      </c>
      <c r="D46" s="19">
        <f t="shared" si="5"/>
        <v>46559</v>
      </c>
      <c r="E46" s="20">
        <f t="shared" ref="E46:H46" si="44">D46+1</f>
        <v>46560</v>
      </c>
      <c r="F46" s="20">
        <f t="shared" si="44"/>
        <v>46561</v>
      </c>
      <c r="G46" s="20">
        <f t="shared" si="44"/>
        <v>46562</v>
      </c>
      <c r="H46" s="20">
        <f t="shared" si="44"/>
        <v>46563</v>
      </c>
      <c r="I46" s="21" t="str">
        <f>IF(G46=Einstellungen!$B$22,"Christi Himmelfahrt",IF(D46=Einstellungen!$B$23,"Pfingstmontag",IF(G46=Einstellungen!$B$24,"Fronleichnam","")))</f>
        <v/>
      </c>
    </row>
    <row r="47" spans="1:9" ht="19" x14ac:dyDescent="0.25">
      <c r="A47" s="7"/>
      <c r="B47" s="18">
        <f t="shared" si="3"/>
        <v>26</v>
      </c>
      <c r="C47" s="27" t="s">
        <v>80</v>
      </c>
      <c r="D47" s="19">
        <f t="shared" si="5"/>
        <v>46566</v>
      </c>
      <c r="E47" s="20">
        <f t="shared" ref="E47:H47" si="45">D47+1</f>
        <v>46567</v>
      </c>
      <c r="F47" s="20">
        <f t="shared" si="45"/>
        <v>46568</v>
      </c>
      <c r="G47" s="20">
        <f t="shared" si="45"/>
        <v>46569</v>
      </c>
      <c r="H47" s="20">
        <f t="shared" si="45"/>
        <v>46570</v>
      </c>
      <c r="I47" s="21"/>
    </row>
    <row r="48" spans="1:9" ht="19" x14ac:dyDescent="0.25">
      <c r="A48" s="7"/>
      <c r="B48" s="18">
        <f t="shared" ref="B48:B49" si="46">WEEKNUM(D48,21)</f>
        <v>27</v>
      </c>
      <c r="C48" s="27" t="s">
        <v>81</v>
      </c>
      <c r="D48" s="19">
        <f t="shared" si="5"/>
        <v>46573</v>
      </c>
      <c r="E48" s="20">
        <f t="shared" ref="E48:E49" si="47">D48+1</f>
        <v>46574</v>
      </c>
      <c r="F48" s="20">
        <f t="shared" ref="F48:F49" si="48">E48+1</f>
        <v>46575</v>
      </c>
      <c r="G48" s="20">
        <f t="shared" ref="G48:G49" si="49">F48+1</f>
        <v>46576</v>
      </c>
      <c r="H48" s="20">
        <f t="shared" ref="H48:H49" si="50">G48+1</f>
        <v>46577</v>
      </c>
      <c r="I48" s="21"/>
    </row>
    <row r="49" spans="1:9" ht="19" x14ac:dyDescent="0.25">
      <c r="A49" s="7"/>
      <c r="B49" s="18">
        <f t="shared" si="46"/>
        <v>28</v>
      </c>
      <c r="C49" s="27" t="s">
        <v>90</v>
      </c>
      <c r="D49" s="19">
        <f t="shared" si="5"/>
        <v>46580</v>
      </c>
      <c r="E49" s="20">
        <f t="shared" si="47"/>
        <v>46581</v>
      </c>
      <c r="F49" s="20">
        <f t="shared" si="48"/>
        <v>46582</v>
      </c>
      <c r="G49" s="20">
        <f t="shared" si="49"/>
        <v>46583</v>
      </c>
      <c r="H49" s="20">
        <f t="shared" si="50"/>
        <v>46584</v>
      </c>
      <c r="I49" s="21" t="str">
        <f>IF(H48=Einstellungen!B3,"Sommerferien","")</f>
        <v>Sommerferien</v>
      </c>
    </row>
    <row r="50" spans="1:9" ht="32" customHeight="1" x14ac:dyDescent="0.2">
      <c r="D50" s="22">
        <f>Einstellungen!I9</f>
        <v>35</v>
      </c>
      <c r="E50" s="23">
        <f>Einstellungen!I10</f>
        <v>37</v>
      </c>
      <c r="F50" s="23">
        <f>Einstellungen!I11</f>
        <v>38</v>
      </c>
      <c r="G50" s="23">
        <f>Einstellungen!I12</f>
        <v>36</v>
      </c>
      <c r="H50" s="23">
        <f>Einstellungen!I13</f>
        <v>37</v>
      </c>
      <c r="I50" s="24" t="str">
        <f xml:space="preserve"> "= " &amp;SUM(D50:H50) &amp; " Tage"</f>
        <v>= 183 Tage</v>
      </c>
    </row>
    <row r="51" spans="1:9" x14ac:dyDescent="0.2">
      <c r="I51" s="30" t="str">
        <f>"abzüglich "&amp;Einstellungen!N34&amp;" schulautonom freier Tage"</f>
        <v>abzüglich 3 schulautonom freier Tage</v>
      </c>
    </row>
    <row r="52" spans="1:9" s="9" customFormat="1" ht="23" customHeight="1" x14ac:dyDescent="0.2">
      <c r="A52" s="9" t="str">
        <f>"Vorschau "&amp;Einstellungen!I20&amp;":"</f>
        <v>Vorschau 2027/2028:</v>
      </c>
      <c r="B52" s="10"/>
      <c r="C52" s="10"/>
      <c r="D52" s="9" t="str">
        <f>"ab Mo, "&amp;DAY(Einstellungen!I21)&amp;"."&amp;MONTH(Einstellungen!I21)&amp;"."&amp;YEAR(Einstellungen!I21)</f>
        <v>ab Mo, 13.9.2027</v>
      </c>
      <c r="E52" s="11" t="str">
        <f>"bis Fr, "&amp;DAY(Einstellungen!I23)&amp;"."&amp;MONTH(Einstellungen!I23)&amp;"."&amp;YEAR(Einstellungen!I23)</f>
        <v>bis Fr, 7.7.2028</v>
      </c>
      <c r="G52" s="9" t="str">
        <f>"2. Sem ab "&amp;DAY(Einstellungen!I22)&amp;"."&amp;MONTH(Einstellungen!I22)&amp;"."&amp;YEAR(Einstellungen!I22)&amp;" "&amp;Einstellungen!J22</f>
        <v xml:space="preserve">2. Sem ab 21.2.2028 </v>
      </c>
      <c r="I52" s="10"/>
    </row>
    <row r="53" spans="1:9" s="9" customFormat="1" ht="23" customHeight="1" x14ac:dyDescent="0.2">
      <c r="A53" s="9" t="str">
        <f>"Vorschau "&amp;Einstellungen!I26&amp;":"</f>
        <v>Vorschau 2028/2029:</v>
      </c>
      <c r="B53" s="10"/>
      <c r="C53" s="10"/>
      <c r="D53" s="9" t="str">
        <f>"ab Mo, "&amp;DAY(Einstellungen!I27)&amp;"."&amp;MONTH(Einstellungen!I27)&amp;"."&amp;YEAR(Einstellungen!I27)</f>
        <v>ab Mo, 11.9.2028</v>
      </c>
      <c r="E53" s="11" t="str">
        <f>"bis Fr, "&amp;DAY(Einstellungen!I29)&amp;"."&amp;MONTH(Einstellungen!I29)&amp;"."&amp;YEAR(Einstellungen!I29)</f>
        <v>bis Fr, 6.7.2029</v>
      </c>
      <c r="G53" s="9" t="str">
        <f>"2. Sem ab "&amp;DAY(Einstellungen!I28)&amp;"."&amp;MONTH(Einstellungen!I28)&amp;"."&amp;YEAR(Einstellungen!I28)&amp;" "&amp;Einstellungen!J28</f>
        <v>2. Sem ab 19.2.2029 Verschiebung wahrscheinlich</v>
      </c>
      <c r="I53" s="10"/>
    </row>
  </sheetData>
  <mergeCells count="4">
    <mergeCell ref="B4:C4"/>
    <mergeCell ref="A3:B3"/>
    <mergeCell ref="I21:I22"/>
    <mergeCell ref="B1:I1"/>
  </mergeCells>
  <phoneticPr fontId="2" type="noConversion"/>
  <conditionalFormatting sqref="D5:H5">
    <cfRule type="expression" dxfId="5" priority="1">
      <formula>NOT(ISBLANK(D5))</formula>
    </cfRule>
  </conditionalFormatting>
  <pageMargins left="0.7" right="0.7" top="0.78740157499999996" bottom="0.78740157499999996" header="0.3" footer="0.3"/>
  <pageSetup paperSize="9" scale="6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E6E2356E-0335-CE43-809C-A8BD7CBADD11}">
            <xm:f>MATCH(D5,Einstellungen!$B$28:$B$57,0)</xm:f>
            <x14:dxf>
              <font>
                <b/>
                <i val="0"/>
              </font>
              <fill>
                <patternFill>
                  <bgColor theme="4" tint="0.59996337778862885"/>
                </patternFill>
              </fill>
            </x14:dxf>
          </x14:cfRule>
          <x14:cfRule type="expression" priority="7" id="{8D53AA11-2A26-3640-A842-E9F0E224DA30}">
            <xm:f>MATCH(D5,Einstellungen!$B$7:$B$24,0)</xm:f>
            <x14:dxf>
              <font>
                <b/>
                <i val="0"/>
              </font>
              <fill>
                <patternFill>
                  <bgColor theme="7" tint="0.59996337778862885"/>
                </patternFill>
              </fill>
            </x14:dxf>
          </x14:cfRule>
          <xm:sqref>D5:H49 J12</xm:sqref>
        </x14:conditionalFormatting>
        <x14:conditionalFormatting xmlns:xm="http://schemas.microsoft.com/office/excel/2006/main">
          <x14:cfRule type="expression" priority="3" id="{6D84B601-412F-40D7-8D94-D5246452999D}">
            <xm:f>D$49&gt;Einstellungen!$B$3</xm:f>
            <x14:dxf>
              <fill>
                <patternFill>
                  <bgColor theme="7" tint="0.59996337778862885"/>
                </patternFill>
              </fill>
            </x14:dxf>
          </x14:cfRule>
          <xm:sqref>D49:H49</xm:sqref>
        </x14:conditionalFormatting>
        <x14:conditionalFormatting xmlns:xm="http://schemas.microsoft.com/office/excel/2006/main">
          <x14:cfRule type="expression" priority="4" id="{2FEEEC65-BBB2-104C-8F89-5EC54001B8C4}">
            <xm:f>MATCH(E50,Einstellungen!$B$28:$B$57,0)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5" id="{69EF3A91-92BA-8543-BB4D-DBB43D118642}">
            <xm:f>MATCH(E50,Einstellungen!$B$7:$B$24,0)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E50:I50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91F7B-6B6B-BE43-AC41-EF18DCE57D78}">
  <dimension ref="A1:N59"/>
  <sheetViews>
    <sheetView workbookViewId="0">
      <selection activeCell="B3" sqref="B3"/>
    </sheetView>
  </sheetViews>
  <sheetFormatPr baseColWidth="10" defaultRowHeight="16" x14ac:dyDescent="0.2"/>
  <cols>
    <col min="1" max="1" width="21.1640625" customWidth="1"/>
    <col min="2" max="2" width="11.83203125" customWidth="1"/>
    <col min="8" max="8" width="17.6640625" customWidth="1"/>
    <col min="14" max="14" width="14.5" bestFit="1" customWidth="1"/>
  </cols>
  <sheetData>
    <row r="1" spans="1:14" x14ac:dyDescent="0.2">
      <c r="A1" s="3" t="s">
        <v>1</v>
      </c>
      <c r="B1" s="1">
        <f>DATE(F2,9,14)-WEEKDAY(DATE(F2,9,14),2)+1</f>
        <v>46279</v>
      </c>
      <c r="C1" s="1">
        <f>DATE(F2,9,14)-WEEKDAY(DATE(F2,9,14),2)+1</f>
        <v>46279</v>
      </c>
      <c r="E1" s="3" t="s">
        <v>2</v>
      </c>
      <c r="F1">
        <f>WEEKNUM(B1,21)</f>
        <v>38</v>
      </c>
      <c r="J1" s="1"/>
    </row>
    <row r="2" spans="1:14" x14ac:dyDescent="0.2">
      <c r="A2" s="3" t="s">
        <v>23</v>
      </c>
      <c r="B2" s="32">
        <v>46440</v>
      </c>
      <c r="C2" s="29">
        <f>DATE(F2+1,2,1)+CHOOSE(WEEKDAY(DATE(F2+1,2,1)),8,7,6,5,4,3,2)+7</f>
        <v>46433</v>
      </c>
      <c r="D2" s="33" t="str">
        <f>IF(E48=1,"Verschiebung?","")</f>
        <v/>
      </c>
      <c r="E2" s="3" t="s">
        <v>3</v>
      </c>
      <c r="F2" s="31">
        <v>2026</v>
      </c>
    </row>
    <row r="3" spans="1:14" x14ac:dyDescent="0.2">
      <c r="A3" s="3" t="s">
        <v>24</v>
      </c>
      <c r="B3" s="1">
        <f>(DATE(F2+1,9,14)-WEEKDAY(DATE(F2+1,9,14),2)+1)-9*7-3</f>
        <v>46577</v>
      </c>
      <c r="C3" s="29">
        <f>(DATE(F2+1,9,14)-WEEKDAY(DATE(F2+1,9,14),2)+1)-9*7-3</f>
        <v>46577</v>
      </c>
      <c r="E3" s="3" t="s">
        <v>4</v>
      </c>
      <c r="F3" s="2" t="str">
        <f>F2&amp;"/"&amp;F2+1</f>
        <v>2026/2027</v>
      </c>
    </row>
    <row r="4" spans="1:14" x14ac:dyDescent="0.2">
      <c r="D4" s="1">
        <f>DATE(F2+1,2,1)+CHOOSE(WEEKDAY(DATE(F2+1,2,1)),8,7,6,5,4,3,2)</f>
        <v>46426</v>
      </c>
      <c r="E4" s="3"/>
      <c r="F4" s="2"/>
    </row>
    <row r="5" spans="1:14" x14ac:dyDescent="0.2">
      <c r="A5" s="44" t="s">
        <v>14</v>
      </c>
      <c r="B5" s="44"/>
      <c r="F5" s="2"/>
      <c r="H5" s="3" t="s">
        <v>32</v>
      </c>
      <c r="I5">
        <f>((B3+3)-B1)/7</f>
        <v>43</v>
      </c>
    </row>
    <row r="7" spans="1:14" x14ac:dyDescent="0.2">
      <c r="A7" t="s">
        <v>5</v>
      </c>
      <c r="B7" s="1">
        <f>DATE(F2,10,26)</f>
        <v>46321</v>
      </c>
      <c r="C7">
        <f>WEEKDAY(B7)</f>
        <v>2</v>
      </c>
      <c r="D7" t="str">
        <f>TEXT(C7,"TTTT")</f>
        <v>Montag</v>
      </c>
      <c r="H7" s="3" t="s">
        <v>33</v>
      </c>
      <c r="I7">
        <f>I16</f>
        <v>180</v>
      </c>
      <c r="L7" s="1">
        <f>B7</f>
        <v>46321</v>
      </c>
      <c r="M7">
        <f t="shared" ref="M7:M16" si="0">WEEKNUM(L7)</f>
        <v>44</v>
      </c>
      <c r="N7" t="str">
        <f>LEFT(A7,LEN(A7)-1)</f>
        <v>Nationalfeiertag</v>
      </c>
    </row>
    <row r="8" spans="1:14" x14ac:dyDescent="0.2">
      <c r="A8" t="s">
        <v>6</v>
      </c>
      <c r="B8" s="1">
        <f>DATE(F2,11,1)</f>
        <v>46327</v>
      </c>
      <c r="C8">
        <f t="shared" ref="C8:C16" si="1">WEEKDAY(B8)</f>
        <v>1</v>
      </c>
      <c r="D8" t="str">
        <f t="shared" ref="D8:D16" si="2">TEXT(C8,"TTTT")</f>
        <v>Sonntag</v>
      </c>
      <c r="L8" s="1">
        <f>B8</f>
        <v>46327</v>
      </c>
      <c r="M8">
        <f t="shared" si="0"/>
        <v>45</v>
      </c>
      <c r="N8" t="str">
        <f>LEFT(A8,LEN(A8)-1)</f>
        <v>Allerheiligen</v>
      </c>
    </row>
    <row r="9" spans="1:14" x14ac:dyDescent="0.2">
      <c r="A9" t="s">
        <v>7</v>
      </c>
      <c r="B9" s="1">
        <f>DATE(F2,11,2)</f>
        <v>46328</v>
      </c>
      <c r="C9">
        <f t="shared" si="1"/>
        <v>2</v>
      </c>
      <c r="D9" t="str">
        <f t="shared" si="2"/>
        <v>Montag</v>
      </c>
      <c r="H9" t="s">
        <v>26</v>
      </c>
      <c r="I9">
        <f>$I$5-COUNTIF($C$7:$C$57,"=2")</f>
        <v>35</v>
      </c>
      <c r="L9" s="1">
        <f t="shared" ref="L9:L10" si="3">B9</f>
        <v>46328</v>
      </c>
      <c r="M9">
        <f t="shared" si="0"/>
        <v>45</v>
      </c>
      <c r="N9" t="str">
        <f t="shared" ref="N9:N10" si="4">LEFT(A9,LEN(A9)-1)</f>
        <v>Allerseelen</v>
      </c>
    </row>
    <row r="10" spans="1:14" x14ac:dyDescent="0.2">
      <c r="A10" t="s">
        <v>8</v>
      </c>
      <c r="B10" s="1">
        <f>DATE(F2,12,8)</f>
        <v>46364</v>
      </c>
      <c r="C10">
        <f t="shared" si="1"/>
        <v>3</v>
      </c>
      <c r="D10" t="str">
        <f t="shared" si="2"/>
        <v>Dienstag</v>
      </c>
      <c r="H10" t="s">
        <v>27</v>
      </c>
      <c r="I10">
        <f>$I$5-COUNTIF($C$7:$C$57,"=3")</f>
        <v>37</v>
      </c>
      <c r="L10" s="1">
        <f t="shared" si="3"/>
        <v>46364</v>
      </c>
      <c r="M10">
        <f t="shared" si="0"/>
        <v>50</v>
      </c>
      <c r="N10" t="str">
        <f t="shared" si="4"/>
        <v>Maria Empfängnis</v>
      </c>
    </row>
    <row r="11" spans="1:14" x14ac:dyDescent="0.2">
      <c r="B11" s="1"/>
      <c r="H11" t="s">
        <v>28</v>
      </c>
      <c r="I11">
        <f>$I$5-COUNTIF($C$7:$C$57,"=4")</f>
        <v>38</v>
      </c>
      <c r="L11" s="1">
        <f>B21</f>
        <v>46475</v>
      </c>
      <c r="M11">
        <f t="shared" si="0"/>
        <v>14</v>
      </c>
      <c r="N11" t="str">
        <f>LEFT(A21,LEN(A21)-1)</f>
        <v>Ostermontag</v>
      </c>
    </row>
    <row r="12" spans="1:14" x14ac:dyDescent="0.2">
      <c r="A12" t="s">
        <v>10</v>
      </c>
      <c r="B12" s="1">
        <f>DATE(F2,12,25)</f>
        <v>46381</v>
      </c>
      <c r="C12">
        <f t="shared" si="1"/>
        <v>6</v>
      </c>
      <c r="D12" t="str">
        <f t="shared" si="2"/>
        <v>Freitag</v>
      </c>
      <c r="H12" t="s">
        <v>29</v>
      </c>
      <c r="I12">
        <f>$I$5-COUNTIF($C$7:$C$57,"=5")</f>
        <v>36</v>
      </c>
      <c r="L12" s="1">
        <f>B22</f>
        <v>46513</v>
      </c>
      <c r="M12">
        <f t="shared" si="0"/>
        <v>19</v>
      </c>
      <c r="N12" t="str">
        <f>LEFT(A22,LEN(A22)-1)</f>
        <v>Christi Himmelfahrt</v>
      </c>
    </row>
    <row r="13" spans="1:14" x14ac:dyDescent="0.2">
      <c r="A13" t="s">
        <v>9</v>
      </c>
      <c r="B13" s="1">
        <f>DATE(F2,12,26)</f>
        <v>46382</v>
      </c>
      <c r="C13">
        <f t="shared" si="1"/>
        <v>7</v>
      </c>
      <c r="D13" t="str">
        <f t="shared" si="2"/>
        <v>Samstag</v>
      </c>
      <c r="H13" t="s">
        <v>30</v>
      </c>
      <c r="I13">
        <f>$I$5-COUNTIF($C$7:$C$57,"=6")</f>
        <v>37</v>
      </c>
      <c r="L13" s="1">
        <f>B23</f>
        <v>46524</v>
      </c>
      <c r="M13">
        <f t="shared" si="0"/>
        <v>21</v>
      </c>
      <c r="N13" t="str">
        <f>LEFT(A23,LEN(A23)-1)</f>
        <v>Pfingstmontag</v>
      </c>
    </row>
    <row r="14" spans="1:14" x14ac:dyDescent="0.2">
      <c r="A14" t="s">
        <v>11</v>
      </c>
      <c r="B14" s="1">
        <f>DATE(F2+1,1,6)</f>
        <v>46393</v>
      </c>
      <c r="C14">
        <f t="shared" si="1"/>
        <v>4</v>
      </c>
      <c r="D14" t="str">
        <f t="shared" si="2"/>
        <v>Mittwoch</v>
      </c>
      <c r="H14" t="s">
        <v>31</v>
      </c>
      <c r="I14">
        <f>SUM(I9:I13)</f>
        <v>183</v>
      </c>
      <c r="L14" s="1">
        <f>B24</f>
        <v>46534</v>
      </c>
      <c r="M14">
        <f t="shared" si="0"/>
        <v>22</v>
      </c>
      <c r="N14" t="str">
        <f>LEFT(A24,LEN(A24)-1)</f>
        <v>Fronleichnam</v>
      </c>
    </row>
    <row r="15" spans="1:14" x14ac:dyDescent="0.2">
      <c r="A15" t="s">
        <v>25</v>
      </c>
      <c r="B15" s="1">
        <f>DATE(F2+1,3,19)</f>
        <v>46465</v>
      </c>
      <c r="C15">
        <f t="shared" si="1"/>
        <v>6</v>
      </c>
      <c r="D15" t="str">
        <f t="shared" si="2"/>
        <v>Freitag</v>
      </c>
      <c r="H15" t="s">
        <v>34</v>
      </c>
      <c r="I15">
        <f>N34</f>
        <v>3</v>
      </c>
      <c r="L15" s="1">
        <f>B47</f>
        <v>46433</v>
      </c>
      <c r="M15">
        <f t="shared" si="0"/>
        <v>8</v>
      </c>
      <c r="N15" t="str">
        <f>LEFT(A47,LEN(A47)-1)</f>
        <v>Semesterferien</v>
      </c>
    </row>
    <row r="16" spans="1:14" x14ac:dyDescent="0.2">
      <c r="A16" t="s">
        <v>12</v>
      </c>
      <c r="B16" s="1">
        <f>DATE(F2+1,5,1)</f>
        <v>46508</v>
      </c>
      <c r="C16">
        <f t="shared" si="1"/>
        <v>7</v>
      </c>
      <c r="D16" t="str">
        <f t="shared" si="2"/>
        <v>Samstag</v>
      </c>
      <c r="H16" s="3" t="s">
        <v>33</v>
      </c>
      <c r="I16" s="3">
        <f>I14-I15</f>
        <v>180</v>
      </c>
      <c r="L16" s="1">
        <f>B53</f>
        <v>46468</v>
      </c>
      <c r="M16">
        <f t="shared" si="0"/>
        <v>13</v>
      </c>
      <c r="N16" t="str">
        <f>LEFT(A53,LEN(A53)-1)</f>
        <v>Osterferien</v>
      </c>
    </row>
    <row r="17" spans="1:13" x14ac:dyDescent="0.2">
      <c r="H17" s="3" t="s">
        <v>35</v>
      </c>
      <c r="I17" s="3">
        <f>I16/5</f>
        <v>36</v>
      </c>
    </row>
    <row r="18" spans="1:13" x14ac:dyDescent="0.2">
      <c r="A18" s="44" t="s">
        <v>13</v>
      </c>
      <c r="B18" s="44"/>
    </row>
    <row r="20" spans="1:13" x14ac:dyDescent="0.2">
      <c r="A20" t="s">
        <v>15</v>
      </c>
      <c r="B20" s="1">
        <f>DOLLAR((DAY(MINUTE((F2+1)/38)/2+55)&amp;".4."&amp;(F2+1))/7,)*7-6</f>
        <v>46474</v>
      </c>
      <c r="C20">
        <f t="shared" ref="C20:C24" si="5">WEEKDAY(B20)</f>
        <v>1</v>
      </c>
      <c r="D20" t="str">
        <f t="shared" ref="D20:D24" si="6">TEXT(C20,"TTTT")</f>
        <v>Sonntag</v>
      </c>
      <c r="H20" s="3" t="s">
        <v>0</v>
      </c>
      <c r="I20" s="4" t="str">
        <f>F2+1&amp;"/"&amp;F2+2</f>
        <v>2027/2028</v>
      </c>
    </row>
    <row r="21" spans="1:13" x14ac:dyDescent="0.2">
      <c r="A21" t="s">
        <v>16</v>
      </c>
      <c r="B21" s="1">
        <f>B20+1</f>
        <v>46475</v>
      </c>
      <c r="C21">
        <f t="shared" si="5"/>
        <v>2</v>
      </c>
      <c r="D21" t="str">
        <f t="shared" si="6"/>
        <v>Montag</v>
      </c>
      <c r="H21" t="s">
        <v>1</v>
      </c>
      <c r="I21" s="1">
        <f>DATE(F2+1,9,14)-WEEKDAY(DATE(F2+1,9,14),2)+1</f>
        <v>46643</v>
      </c>
    </row>
    <row r="22" spans="1:13" x14ac:dyDescent="0.2">
      <c r="A22" t="s">
        <v>17</v>
      </c>
      <c r="B22" s="1">
        <f>B20+39</f>
        <v>46513</v>
      </c>
      <c r="C22">
        <f t="shared" si="5"/>
        <v>5</v>
      </c>
      <c r="D22" t="str">
        <f t="shared" si="6"/>
        <v>Donnerstag</v>
      </c>
      <c r="H22" t="s">
        <v>36</v>
      </c>
      <c r="I22" s="1">
        <f>I21+23*7</f>
        <v>46804</v>
      </c>
      <c r="J22" t="str">
        <f>IF(DOLLAR((DAY(MINUTE((F2+2)/38)/2+55)&amp;".4."&amp;(F2+2))/7,)*7-6-47=I22-6,"Verschiebung wahrscheinlich","")</f>
        <v/>
      </c>
    </row>
    <row r="23" spans="1:13" x14ac:dyDescent="0.2">
      <c r="A23" t="s">
        <v>18</v>
      </c>
      <c r="B23" s="1">
        <f>B20+50</f>
        <v>46524</v>
      </c>
      <c r="C23">
        <f t="shared" si="5"/>
        <v>2</v>
      </c>
      <c r="D23" t="str">
        <f t="shared" si="6"/>
        <v>Montag</v>
      </c>
      <c r="H23" t="s">
        <v>37</v>
      </c>
      <c r="I23" s="1">
        <f>(DATE(F2+2,9,14)-WEEKDAY(DATE(F2+2,9,14),2)+1)-9*7-3</f>
        <v>46941</v>
      </c>
    </row>
    <row r="24" spans="1:13" x14ac:dyDescent="0.2">
      <c r="A24" t="s">
        <v>19</v>
      </c>
      <c r="B24" s="1">
        <f>B20+60</f>
        <v>46534</v>
      </c>
      <c r="C24">
        <f t="shared" si="5"/>
        <v>5</v>
      </c>
      <c r="D24" t="str">
        <f t="shared" si="6"/>
        <v>Donnerstag</v>
      </c>
    </row>
    <row r="26" spans="1:13" x14ac:dyDescent="0.2">
      <c r="A26" s="3" t="s">
        <v>21</v>
      </c>
      <c r="H26" s="3" t="s">
        <v>0</v>
      </c>
      <c r="I26" s="4" t="str">
        <f>F2+2&amp;"/"&amp;F2+3</f>
        <v>2028/2029</v>
      </c>
      <c r="L26" t="s">
        <v>88</v>
      </c>
    </row>
    <row r="27" spans="1:13" x14ac:dyDescent="0.2">
      <c r="H27" t="s">
        <v>1</v>
      </c>
      <c r="I27" s="1">
        <f>DATE(F2+2,9,14)-WEEKDAY(DATE(F2+2,9,14),2)+1</f>
        <v>47007</v>
      </c>
    </row>
    <row r="28" spans="1:13" x14ac:dyDescent="0.2">
      <c r="A28" t="s">
        <v>20</v>
      </c>
      <c r="B28" s="1">
        <f>B7+1</f>
        <v>46322</v>
      </c>
      <c r="C28">
        <f t="shared" ref="C28:C32" si="7">WEEKDAY(B28)</f>
        <v>3</v>
      </c>
      <c r="D28" t="str">
        <f t="shared" ref="D28:D32" si="8">TEXT(C28,"TTTT")</f>
        <v>Dienstag</v>
      </c>
      <c r="H28" t="s">
        <v>36</v>
      </c>
      <c r="I28" s="1">
        <f>I27+23*7</f>
        <v>47168</v>
      </c>
      <c r="J28" t="str">
        <f>IF(DOLLAR((DAY(MINUTE((F2+3)/38)/2+55)&amp;".4."&amp;(F2+3))/7,)*7-6-47=I28-6,"Verschiebung wahrscheinlich","")</f>
        <v>Verschiebung wahrscheinlich</v>
      </c>
      <c r="M28">
        <f>IF(AND(C28&lt;&gt;1,C28&lt;&gt;7),1,0)</f>
        <v>1</v>
      </c>
    </row>
    <row r="29" spans="1:13" x14ac:dyDescent="0.2">
      <c r="B29" s="1">
        <f>B7+2</f>
        <v>46323</v>
      </c>
      <c r="C29">
        <f t="shared" si="7"/>
        <v>4</v>
      </c>
      <c r="D29" t="str">
        <f t="shared" si="8"/>
        <v>Mittwoch</v>
      </c>
      <c r="H29" t="s">
        <v>37</v>
      </c>
      <c r="I29" s="1">
        <f>(DATE(F2+3,9,14)-WEEKDAY(DATE(F2+3,9,14),2)+1)-9*7-3</f>
        <v>47305</v>
      </c>
      <c r="M29">
        <f t="shared" ref="M29:M32" si="9">IF(AND(C29&lt;&gt;1,C29&lt;&gt;7),1,0)</f>
        <v>1</v>
      </c>
    </row>
    <row r="30" spans="1:13" x14ac:dyDescent="0.2">
      <c r="B30" s="1">
        <f>B7+3</f>
        <v>46324</v>
      </c>
      <c r="C30">
        <f t="shared" si="7"/>
        <v>5</v>
      </c>
      <c r="D30" t="str">
        <f t="shared" si="8"/>
        <v>Donnerstag</v>
      </c>
      <c r="M30">
        <f t="shared" si="9"/>
        <v>1</v>
      </c>
    </row>
    <row r="31" spans="1:13" x14ac:dyDescent="0.2">
      <c r="B31" s="1">
        <f>B7+4</f>
        <v>46325</v>
      </c>
      <c r="C31">
        <f t="shared" si="7"/>
        <v>6</v>
      </c>
      <c r="D31" t="str">
        <f t="shared" si="8"/>
        <v>Freitag</v>
      </c>
      <c r="M31">
        <f t="shared" si="9"/>
        <v>1</v>
      </c>
    </row>
    <row r="32" spans="1:13" x14ac:dyDescent="0.2">
      <c r="B32" s="1">
        <f>B7+5</f>
        <v>46326</v>
      </c>
      <c r="C32">
        <f t="shared" si="7"/>
        <v>7</v>
      </c>
      <c r="D32" t="str">
        <f t="shared" si="8"/>
        <v>Samstag</v>
      </c>
      <c r="M32">
        <f t="shared" si="9"/>
        <v>0</v>
      </c>
    </row>
    <row r="34" spans="1:14" x14ac:dyDescent="0.2">
      <c r="A34" t="s">
        <v>22</v>
      </c>
      <c r="B34" s="1" t="str">
        <f>IF(C11=3,DATE(F2,12,23),"")</f>
        <v/>
      </c>
      <c r="C34" t="str">
        <f>IF(C11=3,WEEKDAY(B34),"")</f>
        <v/>
      </c>
      <c r="D34" t="str">
        <f>IF(C11=3,TEXT(C34,"TTTT"),"")</f>
        <v/>
      </c>
      <c r="L34" t="s">
        <v>89</v>
      </c>
      <c r="N34">
        <f>7-SUM(M28:M32)</f>
        <v>3</v>
      </c>
    </row>
    <row r="35" spans="1:14" x14ac:dyDescent="0.2">
      <c r="A35" t="s">
        <v>94</v>
      </c>
      <c r="B35" s="1">
        <f>DATE(F2,12,24)</f>
        <v>46380</v>
      </c>
      <c r="C35">
        <f t="shared" ref="C35" si="10">WEEKDAY(B35)</f>
        <v>5</v>
      </c>
      <c r="D35" t="str">
        <f t="shared" ref="D35" si="11">TEXT(C35,"TTTT")</f>
        <v>Donnerstag</v>
      </c>
    </row>
    <row r="36" spans="1:14" x14ac:dyDescent="0.2">
      <c r="B36" s="1">
        <f>DATE(F2,12,27)</f>
        <v>46383</v>
      </c>
      <c r="C36">
        <f t="shared" ref="C36:C45" si="12">WEEKDAY(B36)</f>
        <v>1</v>
      </c>
      <c r="D36" t="str">
        <f t="shared" ref="D36:D45" si="13">TEXT(C36,"TTTT")</f>
        <v>Sonntag</v>
      </c>
    </row>
    <row r="37" spans="1:14" x14ac:dyDescent="0.2">
      <c r="B37" s="1">
        <f>DATE(F2,12,28)</f>
        <v>46384</v>
      </c>
      <c r="C37">
        <f t="shared" si="12"/>
        <v>2</v>
      </c>
      <c r="D37" t="str">
        <f t="shared" si="13"/>
        <v>Montag</v>
      </c>
    </row>
    <row r="38" spans="1:14" x14ac:dyDescent="0.2">
      <c r="B38" s="1">
        <f>DATE(F2,12,29)</f>
        <v>46385</v>
      </c>
      <c r="C38">
        <f t="shared" si="12"/>
        <v>3</v>
      </c>
      <c r="D38" t="str">
        <f t="shared" si="13"/>
        <v>Dienstag</v>
      </c>
    </row>
    <row r="39" spans="1:14" x14ac:dyDescent="0.2">
      <c r="B39" s="1">
        <f>DATE(F2,12,30)</f>
        <v>46386</v>
      </c>
      <c r="C39">
        <f t="shared" si="12"/>
        <v>4</v>
      </c>
      <c r="D39" t="str">
        <f t="shared" si="13"/>
        <v>Mittwoch</v>
      </c>
    </row>
    <row r="40" spans="1:14" x14ac:dyDescent="0.2">
      <c r="B40" s="1">
        <f>DATE(F2,12,31)</f>
        <v>46387</v>
      </c>
      <c r="C40">
        <f t="shared" si="12"/>
        <v>5</v>
      </c>
      <c r="D40" t="str">
        <f t="shared" si="13"/>
        <v>Donnerstag</v>
      </c>
    </row>
    <row r="41" spans="1:14" x14ac:dyDescent="0.2">
      <c r="B41" s="1">
        <f>DATE(F2+1,1,1)</f>
        <v>46388</v>
      </c>
      <c r="C41">
        <f t="shared" si="12"/>
        <v>6</v>
      </c>
      <c r="D41" t="str">
        <f t="shared" si="13"/>
        <v>Freitag</v>
      </c>
    </row>
    <row r="42" spans="1:14" x14ac:dyDescent="0.2">
      <c r="B42" s="1">
        <f>DATE(F2+1,1,2)</f>
        <v>46389</v>
      </c>
      <c r="C42">
        <f t="shared" si="12"/>
        <v>7</v>
      </c>
      <c r="D42" t="str">
        <f t="shared" si="13"/>
        <v>Samstag</v>
      </c>
    </row>
    <row r="43" spans="1:14" x14ac:dyDescent="0.2">
      <c r="B43" s="1">
        <f>DATE(F2+1,1,3)</f>
        <v>46390</v>
      </c>
      <c r="C43">
        <f t="shared" si="12"/>
        <v>1</v>
      </c>
      <c r="D43" t="str">
        <f t="shared" si="13"/>
        <v>Sonntag</v>
      </c>
    </row>
    <row r="44" spans="1:14" x14ac:dyDescent="0.2">
      <c r="B44" s="1">
        <f>DATE(F2+1,1,4)</f>
        <v>46391</v>
      </c>
      <c r="C44">
        <f t="shared" si="12"/>
        <v>2</v>
      </c>
      <c r="D44" t="str">
        <f t="shared" si="13"/>
        <v>Montag</v>
      </c>
    </row>
    <row r="45" spans="1:14" x14ac:dyDescent="0.2">
      <c r="B45" s="1">
        <f>DATE(F2+1,1,5)</f>
        <v>46392</v>
      </c>
      <c r="C45">
        <f t="shared" si="12"/>
        <v>3</v>
      </c>
      <c r="D45" t="str">
        <f t="shared" si="13"/>
        <v>Dienstag</v>
      </c>
    </row>
    <row r="47" spans="1:14" x14ac:dyDescent="0.2">
      <c r="A47" t="s">
        <v>86</v>
      </c>
      <c r="B47" s="1">
        <f>B2-7</f>
        <v>46433</v>
      </c>
      <c r="C47">
        <f t="shared" ref="C47:C51" si="14">WEEKDAY(B47)</f>
        <v>2</v>
      </c>
      <c r="D47" t="str">
        <f t="shared" ref="D47:D51" si="15">TEXT(C47,"TTTT")</f>
        <v>Montag</v>
      </c>
    </row>
    <row r="48" spans="1:14" x14ac:dyDescent="0.2">
      <c r="B48" s="1">
        <f>B2-6</f>
        <v>46434</v>
      </c>
      <c r="C48">
        <f t="shared" si="14"/>
        <v>3</v>
      </c>
      <c r="D48" t="str">
        <f t="shared" si="15"/>
        <v>Dienstag</v>
      </c>
      <c r="E48">
        <f>IF(B48=B59,1,0)</f>
        <v>0</v>
      </c>
      <c r="F48" t="str">
        <f>IF(E48=1,"Faschingsdienstag!","")</f>
        <v/>
      </c>
    </row>
    <row r="49" spans="1:4" x14ac:dyDescent="0.2">
      <c r="B49" s="1">
        <f>B2-5</f>
        <v>46435</v>
      </c>
      <c r="C49">
        <f t="shared" si="14"/>
        <v>4</v>
      </c>
      <c r="D49" t="str">
        <f t="shared" si="15"/>
        <v>Mittwoch</v>
      </c>
    </row>
    <row r="50" spans="1:4" x14ac:dyDescent="0.2">
      <c r="B50" s="1">
        <f>B2-4</f>
        <v>46436</v>
      </c>
      <c r="C50">
        <f t="shared" si="14"/>
        <v>5</v>
      </c>
      <c r="D50" t="str">
        <f t="shared" si="15"/>
        <v>Donnerstag</v>
      </c>
    </row>
    <row r="51" spans="1:4" x14ac:dyDescent="0.2">
      <c r="B51" s="1">
        <f>B2-3</f>
        <v>46437</v>
      </c>
      <c r="C51">
        <f t="shared" si="14"/>
        <v>6</v>
      </c>
      <c r="D51" t="str">
        <f t="shared" si="15"/>
        <v>Freitag</v>
      </c>
    </row>
    <row r="53" spans="1:4" x14ac:dyDescent="0.2">
      <c r="A53" t="s">
        <v>87</v>
      </c>
      <c r="B53" s="1">
        <f>B20-6</f>
        <v>46468</v>
      </c>
      <c r="C53">
        <f t="shared" ref="C53:C57" si="16">WEEKDAY(B53)</f>
        <v>2</v>
      </c>
      <c r="D53" t="str">
        <f t="shared" ref="D53:D57" si="17">TEXT(C53,"TTTT")</f>
        <v>Montag</v>
      </c>
    </row>
    <row r="54" spans="1:4" x14ac:dyDescent="0.2">
      <c r="B54" s="1">
        <f>B20-5</f>
        <v>46469</v>
      </c>
      <c r="C54">
        <f t="shared" si="16"/>
        <v>3</v>
      </c>
      <c r="D54" t="str">
        <f t="shared" si="17"/>
        <v>Dienstag</v>
      </c>
    </row>
    <row r="55" spans="1:4" x14ac:dyDescent="0.2">
      <c r="B55" s="1">
        <f>B20-4</f>
        <v>46470</v>
      </c>
      <c r="C55">
        <f t="shared" si="16"/>
        <v>4</v>
      </c>
      <c r="D55" t="str">
        <f t="shared" si="17"/>
        <v>Mittwoch</v>
      </c>
    </row>
    <row r="56" spans="1:4" x14ac:dyDescent="0.2">
      <c r="B56" s="1">
        <f>B20-3</f>
        <v>46471</v>
      </c>
      <c r="C56">
        <f t="shared" si="16"/>
        <v>5</v>
      </c>
      <c r="D56" t="str">
        <f t="shared" si="17"/>
        <v>Donnerstag</v>
      </c>
    </row>
    <row r="57" spans="1:4" x14ac:dyDescent="0.2">
      <c r="B57" s="1">
        <f>B20-2</f>
        <v>46472</v>
      </c>
      <c r="C57">
        <f t="shared" si="16"/>
        <v>6</v>
      </c>
      <c r="D57" t="str">
        <f t="shared" si="17"/>
        <v>Freitag</v>
      </c>
    </row>
    <row r="59" spans="1:4" x14ac:dyDescent="0.2">
      <c r="A59" t="s">
        <v>91</v>
      </c>
      <c r="B59" s="1">
        <f>B20-47</f>
        <v>46427</v>
      </c>
      <c r="C59">
        <f t="shared" ref="C59" si="18">WEEKDAY(B59)</f>
        <v>3</v>
      </c>
      <c r="D59" t="str">
        <f t="shared" ref="D59" si="19">TEXT(C59,"TTTT")</f>
        <v>Dienstag</v>
      </c>
    </row>
  </sheetData>
  <sheetProtection sheet="1" objects="1" scenarios="1"/>
  <mergeCells count="2">
    <mergeCell ref="A5:B5"/>
    <mergeCell ref="A18:B18"/>
  </mergeCells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Übersicht</vt:lpstr>
      <vt:lpstr>Einstellungen</vt:lpstr>
      <vt:lpstr>Übersicht!Druckbereich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Kuno Sandholzer</dc:creator>
  <cp:lastModifiedBy>Kuno Sandholzer</cp:lastModifiedBy>
  <cp:lastPrinted>2024-06-11T08:50:21Z</cp:lastPrinted>
  <dcterms:created xsi:type="dcterms:W3CDTF">2022-10-12T12:57:23Z</dcterms:created>
  <dcterms:modified xsi:type="dcterms:W3CDTF">2025-12-17T06:48:01Z</dcterms:modified>
</cp:coreProperties>
</file>